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showInkAnnotation="0" defaultThemeVersion="124226"/>
  <mc:AlternateContent xmlns:mc="http://schemas.openxmlformats.org/markup-compatibility/2006">
    <mc:Choice Requires="x15">
      <x15ac:absPath xmlns:x15ac="http://schemas.microsoft.com/office/spreadsheetml/2010/11/ac" url="\\bis.bashtel.ru\deps\OUZ\01. ОУЗ\2020\Конкурс\06. Июнь\МСП_Р_ строительство B2C-B2B-B2G-B2O\Закупочная\"/>
    </mc:Choice>
  </mc:AlternateContent>
  <xr:revisionPtr revIDLastSave="0" documentId="8_{E5ED9F75-DFA8-4E45-8618-FCF334907E77}" xr6:coauthVersionLast="36" xr6:coauthVersionMax="36" xr10:uidLastSave="{00000000-0000-0000-0000-000000000000}"/>
  <bookViews>
    <workbookView xWindow="0" yWindow="1350" windowWidth="28800" windowHeight="12210" tabRatio="889" xr2:uid="{00000000-000D-0000-FFFF-FFFF00000000}"/>
  </bookViews>
  <sheets>
    <sheet name="Перечень расценок" sheetId="41" r:id="rId1"/>
    <sheet name="Комментарии к Переченю расценок" sheetId="40" r:id="rId2"/>
  </sheets>
  <definedNames>
    <definedName name="_xlnm._FilterDatabase" localSheetId="1" hidden="1">'Комментарии к Переченю расценок'!$A$8:$E$462</definedName>
    <definedName name="_xlnm._FilterDatabase" localSheetId="0" hidden="1">'Перечень расценок'!$A$11:$H$465</definedName>
    <definedName name="_xlnm.Print_Area" localSheetId="1">'Комментарии к Переченю расценок'!$A$1:$E$464</definedName>
    <definedName name="_xlnm.Print_Area" localSheetId="0">'Перечень расценок'!$A$1:$H$467</definedName>
  </definedNames>
  <calcPr calcId="191029"/>
</workbook>
</file>

<file path=xl/calcChain.xml><?xml version="1.0" encoding="utf-8"?>
<calcChain xmlns="http://schemas.openxmlformats.org/spreadsheetml/2006/main">
  <c r="E456" i="41" l="1"/>
  <c r="E465" i="41"/>
  <c r="E464" i="41"/>
  <c r="E463" i="41"/>
  <c r="E462" i="41"/>
  <c r="E461" i="41"/>
  <c r="E460" i="41"/>
  <c r="E459" i="41"/>
  <c r="E458" i="41"/>
  <c r="D457" i="41"/>
  <c r="G455" i="41"/>
  <c r="E455" i="41"/>
  <c r="E454" i="41"/>
  <c r="E453" i="41"/>
  <c r="E452" i="41"/>
  <c r="E451" i="41"/>
  <c r="E450" i="41"/>
  <c r="E449" i="41"/>
  <c r="E448" i="41"/>
  <c r="E447" i="41"/>
  <c r="E445" i="41"/>
  <c r="E444" i="41"/>
  <c r="E442" i="41"/>
  <c r="E441" i="41"/>
  <c r="E440" i="41"/>
  <c r="E439" i="41"/>
  <c r="E438" i="41"/>
  <c r="E437" i="41"/>
  <c r="E436" i="41"/>
  <c r="E434" i="41"/>
  <c r="E433" i="41"/>
  <c r="E432" i="41"/>
  <c r="E431" i="41"/>
  <c r="E430" i="41"/>
  <c r="E429" i="41"/>
  <c r="E428" i="41"/>
  <c r="E427" i="41"/>
  <c r="E426" i="41"/>
  <c r="E425" i="41"/>
  <c r="E424" i="41"/>
  <c r="E423" i="41"/>
  <c r="E422" i="41"/>
  <c r="E421" i="41"/>
  <c r="E419" i="41"/>
  <c r="E418" i="41"/>
  <c r="E417" i="41"/>
  <c r="E416" i="41"/>
  <c r="E415" i="41"/>
  <c r="E414" i="41"/>
  <c r="E412" i="41"/>
  <c r="E411" i="41"/>
  <c r="E410" i="41"/>
  <c r="E409" i="41"/>
  <c r="E408" i="41"/>
  <c r="E407" i="41"/>
  <c r="E406" i="41"/>
  <c r="E405" i="41"/>
  <c r="E404" i="41"/>
  <c r="E403" i="41"/>
  <c r="E402" i="41"/>
  <c r="E401" i="41"/>
  <c r="E400" i="41"/>
  <c r="E399" i="41"/>
  <c r="E397" i="41"/>
  <c r="E396" i="41"/>
  <c r="E395" i="41"/>
  <c r="E394" i="41"/>
  <c r="E393" i="41"/>
  <c r="E392" i="41"/>
  <c r="E391" i="41"/>
  <c r="E390" i="41"/>
  <c r="E389" i="41"/>
  <c r="E387" i="41"/>
  <c r="E386" i="41"/>
  <c r="E383" i="41"/>
  <c r="E382" i="41"/>
  <c r="E381" i="41"/>
  <c r="E380" i="41"/>
  <c r="G376" i="41"/>
  <c r="G375" i="41"/>
  <c r="G374" i="41"/>
  <c r="G373" i="41"/>
  <c r="G372" i="41"/>
  <c r="E376" i="41"/>
  <c r="E375" i="41"/>
  <c r="E374" i="41"/>
  <c r="E373" i="41"/>
  <c r="E372" i="41"/>
  <c r="G369" i="41"/>
  <c r="G368" i="41"/>
  <c r="G367" i="41"/>
  <c r="E369" i="41"/>
  <c r="E368" i="41"/>
  <c r="E367" i="41"/>
  <c r="E364" i="41"/>
  <c r="E363" i="41"/>
  <c r="E361" i="41"/>
  <c r="E360" i="41"/>
  <c r="E359" i="41"/>
  <c r="E358" i="41"/>
  <c r="E357" i="41"/>
  <c r="G354" i="41"/>
  <c r="G353" i="41"/>
  <c r="G352" i="41"/>
  <c r="G351" i="41"/>
  <c r="G350" i="41"/>
  <c r="G349" i="41"/>
  <c r="G348" i="41"/>
  <c r="G347" i="41"/>
  <c r="E354" i="41"/>
  <c r="E353" i="41"/>
  <c r="E352" i="41"/>
  <c r="E351" i="41"/>
  <c r="E350" i="41"/>
  <c r="E349" i="41"/>
  <c r="E348" i="41"/>
  <c r="E347" i="41"/>
  <c r="G343" i="41"/>
  <c r="G342" i="41"/>
  <c r="G341" i="41"/>
  <c r="G340" i="41"/>
  <c r="G339" i="41"/>
  <c r="G338" i="41"/>
  <c r="G337" i="41"/>
  <c r="G336" i="41"/>
  <c r="G335" i="41"/>
  <c r="G334" i="41"/>
  <c r="G333" i="41"/>
  <c r="G332" i="41"/>
  <c r="G330" i="41"/>
  <c r="G329" i="41"/>
  <c r="E343" i="41"/>
  <c r="E342" i="41"/>
  <c r="E341" i="41"/>
  <c r="E340" i="41"/>
  <c r="E339" i="41"/>
  <c r="E338" i="41"/>
  <c r="E337" i="41"/>
  <c r="E336" i="41"/>
  <c r="E335" i="41"/>
  <c r="E334" i="41"/>
  <c r="E333" i="41"/>
  <c r="E332" i="41"/>
  <c r="E331" i="41"/>
  <c r="E330" i="41"/>
  <c r="E329" i="41"/>
  <c r="E328" i="41"/>
  <c r="G325" i="41"/>
  <c r="G324" i="41"/>
  <c r="G322" i="41"/>
  <c r="G321" i="41"/>
  <c r="G320" i="41"/>
  <c r="G319" i="41"/>
  <c r="G318" i="41"/>
  <c r="G317" i="41"/>
  <c r="G316" i="41"/>
  <c r="G315" i="41"/>
  <c r="G314" i="41"/>
  <c r="G313" i="41"/>
  <c r="G312" i="41"/>
  <c r="G311" i="41"/>
  <c r="G310" i="41"/>
  <c r="G309" i="41"/>
  <c r="G308" i="41"/>
  <c r="G307" i="41"/>
  <c r="G306" i="41"/>
  <c r="G305" i="41"/>
  <c r="G304" i="41"/>
  <c r="G303" i="41"/>
  <c r="G302" i="41"/>
  <c r="E325" i="41"/>
  <c r="E324" i="41"/>
  <c r="E323" i="41"/>
  <c r="E322" i="41"/>
  <c r="E321" i="41"/>
  <c r="E320" i="41"/>
  <c r="E319" i="41"/>
  <c r="E318" i="41"/>
  <c r="E317" i="41"/>
  <c r="E316" i="41"/>
  <c r="E315" i="41"/>
  <c r="E314" i="41"/>
  <c r="E313" i="41"/>
  <c r="E312" i="41"/>
  <c r="E311" i="41"/>
  <c r="E310" i="41"/>
  <c r="E309" i="41"/>
  <c r="E308" i="41"/>
  <c r="E307" i="41"/>
  <c r="E306" i="41"/>
  <c r="E305" i="41"/>
  <c r="E304" i="41"/>
  <c r="E303" i="41"/>
  <c r="E302" i="41"/>
  <c r="E301" i="41"/>
  <c r="E300" i="41"/>
  <c r="G298" i="41"/>
  <c r="G297" i="41"/>
  <c r="G296" i="41"/>
  <c r="G294" i="41"/>
  <c r="G293" i="41"/>
  <c r="G292" i="41"/>
  <c r="G291" i="41"/>
  <c r="G290" i="41"/>
  <c r="G289" i="41"/>
  <c r="G288" i="41"/>
  <c r="G287" i="41"/>
  <c r="G286" i="41"/>
  <c r="G285" i="41"/>
  <c r="E298" i="41"/>
  <c r="E297" i="41"/>
  <c r="E296" i="41"/>
  <c r="E295" i="41"/>
  <c r="E294" i="41"/>
  <c r="E293" i="41"/>
  <c r="E292" i="41"/>
  <c r="E291" i="41"/>
  <c r="E290" i="41"/>
  <c r="E289" i="41"/>
  <c r="E288" i="41"/>
  <c r="E287" i="41"/>
  <c r="E286" i="41"/>
  <c r="E285" i="41"/>
  <c r="E284" i="41"/>
  <c r="E283" i="41"/>
  <c r="E282" i="41"/>
  <c r="G277" i="41"/>
  <c r="G276" i="41"/>
  <c r="G275" i="41"/>
  <c r="G274" i="41"/>
  <c r="G273" i="41"/>
  <c r="G272" i="41"/>
  <c r="G271" i="41"/>
  <c r="G270" i="41"/>
  <c r="E280" i="41"/>
  <c r="E279" i="41"/>
  <c r="E278" i="41"/>
  <c r="E277" i="41"/>
  <c r="E276" i="41"/>
  <c r="E275" i="41"/>
  <c r="E274" i="41"/>
  <c r="E273" i="41"/>
  <c r="E272" i="41"/>
  <c r="E271" i="41"/>
  <c r="E270" i="41"/>
  <c r="G267" i="41"/>
  <c r="G266" i="41"/>
  <c r="G265" i="41"/>
  <c r="G264" i="41"/>
  <c r="G263" i="41"/>
  <c r="G262" i="41"/>
  <c r="G261" i="41"/>
  <c r="G260" i="41"/>
  <c r="G259" i="41"/>
  <c r="G258" i="41"/>
  <c r="G257" i="41"/>
  <c r="G256" i="41"/>
  <c r="G255" i="41"/>
  <c r="G254" i="41"/>
  <c r="G253" i="41"/>
  <c r="G252" i="41"/>
  <c r="G251" i="41"/>
  <c r="G250" i="41"/>
  <c r="G249" i="41"/>
  <c r="G248" i="41"/>
  <c r="G247" i="41"/>
  <c r="G246" i="41"/>
  <c r="E267" i="41"/>
  <c r="E266" i="41"/>
  <c r="E265" i="41"/>
  <c r="E264" i="41"/>
  <c r="E263" i="41"/>
  <c r="E262" i="41"/>
  <c r="E261" i="41"/>
  <c r="E260" i="41"/>
  <c r="E259" i="41"/>
  <c r="E258" i="41"/>
  <c r="E257" i="41"/>
  <c r="E256" i="41"/>
  <c r="E255" i="41"/>
  <c r="E254" i="41"/>
  <c r="E253" i="41"/>
  <c r="E252" i="41"/>
  <c r="E251" i="41"/>
  <c r="E250" i="41"/>
  <c r="E249" i="41"/>
  <c r="E248" i="41"/>
  <c r="E247" i="41"/>
  <c r="E246" i="41"/>
  <c r="G244" i="41"/>
  <c r="G243" i="41"/>
  <c r="G242" i="41"/>
  <c r="G241" i="41"/>
  <c r="G240" i="41"/>
  <c r="G239" i="41"/>
  <c r="G238" i="41"/>
  <c r="G237" i="41"/>
  <c r="E244" i="41"/>
  <c r="E243" i="41"/>
  <c r="E242" i="41"/>
  <c r="E241" i="41"/>
  <c r="E240" i="41"/>
  <c r="E239" i="41"/>
  <c r="E238" i="41"/>
  <c r="E237" i="41"/>
  <c r="G233" i="41"/>
  <c r="G232" i="41"/>
  <c r="G230" i="41"/>
  <c r="G229" i="41"/>
  <c r="G228" i="41"/>
  <c r="G227" i="41"/>
  <c r="G226" i="41"/>
  <c r="E235" i="41"/>
  <c r="E234" i="41"/>
  <c r="E233" i="41"/>
  <c r="E232" i="41"/>
  <c r="E231" i="41"/>
  <c r="E230" i="41"/>
  <c r="E229" i="41"/>
  <c r="E228" i="41"/>
  <c r="E227" i="41"/>
  <c r="E226" i="41"/>
  <c r="G223" i="41"/>
  <c r="G221" i="41"/>
  <c r="G220" i="41"/>
  <c r="G219" i="41"/>
  <c r="G218" i="41"/>
  <c r="G217" i="41"/>
  <c r="G216" i="41"/>
  <c r="G215" i="41"/>
  <c r="G214" i="41"/>
  <c r="G213" i="41"/>
  <c r="G212" i="41"/>
  <c r="G211" i="41"/>
  <c r="G210" i="41"/>
  <c r="G209" i="41"/>
  <c r="G208" i="41"/>
  <c r="G207" i="41"/>
  <c r="G206" i="41"/>
  <c r="G205" i="41"/>
  <c r="G204" i="41"/>
  <c r="G203" i="41"/>
  <c r="E223" i="41"/>
  <c r="E222" i="41"/>
  <c r="E221" i="41"/>
  <c r="E220" i="41"/>
  <c r="E219" i="41"/>
  <c r="E218" i="41"/>
  <c r="E217" i="41"/>
  <c r="E216" i="41"/>
  <c r="E215" i="41"/>
  <c r="E214" i="41"/>
  <c r="E213" i="41"/>
  <c r="E212" i="41"/>
  <c r="E211" i="41"/>
  <c r="E210" i="41"/>
  <c r="E209" i="41"/>
  <c r="E208" i="41"/>
  <c r="E207" i="41"/>
  <c r="E206" i="41"/>
  <c r="E205" i="41"/>
  <c r="E204" i="41"/>
  <c r="E203" i="41"/>
  <c r="G200" i="41"/>
  <c r="G199" i="41"/>
  <c r="G198" i="41"/>
  <c r="G197" i="41"/>
  <c r="G196" i="41"/>
  <c r="G195" i="41"/>
  <c r="E201" i="41"/>
  <c r="E200" i="41"/>
  <c r="E199" i="41"/>
  <c r="E198" i="41"/>
  <c r="E197" i="41"/>
  <c r="E196" i="41"/>
  <c r="E195" i="41"/>
  <c r="G191" i="41"/>
  <c r="G190" i="41"/>
  <c r="G189" i="41"/>
  <c r="G188" i="41"/>
  <c r="G187" i="41"/>
  <c r="G186" i="41"/>
  <c r="G185" i="41"/>
  <c r="G184" i="41"/>
  <c r="E191" i="41"/>
  <c r="E190" i="41"/>
  <c r="E189" i="41"/>
  <c r="E188" i="41"/>
  <c r="E187" i="41"/>
  <c r="E186" i="41"/>
  <c r="E185" i="41"/>
  <c r="E184" i="41"/>
  <c r="G182" i="41"/>
  <c r="G181" i="41"/>
  <c r="G180" i="41"/>
  <c r="G179" i="41"/>
  <c r="G178" i="41"/>
  <c r="G177" i="41"/>
  <c r="G176" i="41"/>
  <c r="G175" i="41"/>
  <c r="G174" i="41"/>
  <c r="G173" i="41"/>
  <c r="E182" i="41"/>
  <c r="E181" i="41"/>
  <c r="E180" i="41"/>
  <c r="E179" i="41"/>
  <c r="E178" i="41"/>
  <c r="E177" i="41"/>
  <c r="E176" i="41"/>
  <c r="E175" i="41"/>
  <c r="E174" i="41"/>
  <c r="E173" i="41"/>
  <c r="G171" i="41"/>
  <c r="G170" i="41"/>
  <c r="G169" i="41"/>
  <c r="G168" i="41"/>
  <c r="G167" i="41"/>
  <c r="G166" i="41"/>
  <c r="G165" i="41"/>
  <c r="G164" i="41"/>
  <c r="G163" i="41"/>
  <c r="G162" i="41"/>
  <c r="G161" i="41"/>
  <c r="G160" i="41"/>
  <c r="G159" i="41"/>
  <c r="G158" i="41"/>
  <c r="G156" i="41"/>
  <c r="G155" i="41"/>
  <c r="G153" i="41"/>
  <c r="G152" i="41"/>
  <c r="G150" i="41"/>
  <c r="G149" i="41"/>
  <c r="G148" i="41"/>
  <c r="G147" i="41"/>
  <c r="E171" i="41"/>
  <c r="E170" i="41"/>
  <c r="E169" i="41"/>
  <c r="E168" i="41"/>
  <c r="E167" i="41"/>
  <c r="E166" i="41"/>
  <c r="E165" i="41"/>
  <c r="E164" i="41"/>
  <c r="E163" i="41"/>
  <c r="E162" i="41"/>
  <c r="E161" i="41"/>
  <c r="E160" i="41"/>
  <c r="E159" i="41"/>
  <c r="E158" i="41"/>
  <c r="E156" i="41"/>
  <c r="E155" i="41"/>
  <c r="E153" i="41"/>
  <c r="E152" i="41"/>
  <c r="E150" i="41"/>
  <c r="E149" i="41"/>
  <c r="E148" i="41"/>
  <c r="E147" i="41"/>
  <c r="G143" i="41"/>
  <c r="G142" i="41"/>
  <c r="G141" i="41"/>
  <c r="G139" i="41"/>
  <c r="G138" i="41"/>
  <c r="G137" i="41"/>
  <c r="G135" i="41"/>
  <c r="G134" i="41"/>
  <c r="G133" i="41"/>
  <c r="G131" i="41"/>
  <c r="G130" i="41"/>
  <c r="E143" i="41"/>
  <c r="E142" i="41"/>
  <c r="E141" i="41"/>
  <c r="E139" i="41"/>
  <c r="E138" i="41"/>
  <c r="E137" i="41"/>
  <c r="E135" i="41"/>
  <c r="E134" i="41"/>
  <c r="E133" i="41"/>
  <c r="E131" i="41"/>
  <c r="E130" i="41"/>
  <c r="G125" i="41"/>
  <c r="G124" i="41"/>
  <c r="G123" i="41"/>
  <c r="G122" i="41"/>
  <c r="G121" i="41"/>
  <c r="G120" i="41"/>
  <c r="G119" i="41"/>
  <c r="G118" i="41"/>
  <c r="G117" i="41"/>
  <c r="G116" i="41"/>
  <c r="E128" i="41"/>
  <c r="E127" i="41"/>
  <c r="E126" i="41"/>
  <c r="E125" i="41"/>
  <c r="E124" i="41"/>
  <c r="E123" i="41"/>
  <c r="E122" i="41"/>
  <c r="E121" i="41"/>
  <c r="E120" i="41"/>
  <c r="E119" i="41"/>
  <c r="E118" i="41"/>
  <c r="E117" i="41"/>
  <c r="E116" i="41"/>
  <c r="G114" i="41"/>
  <c r="G113" i="41"/>
  <c r="G112" i="41"/>
  <c r="G111" i="41"/>
  <c r="G110" i="41"/>
  <c r="G109" i="41"/>
  <c r="G108" i="41"/>
  <c r="G107" i="41"/>
  <c r="G106" i="41"/>
  <c r="E114" i="41"/>
  <c r="E113" i="41"/>
  <c r="E112" i="41"/>
  <c r="E111" i="41"/>
  <c r="E110" i="41"/>
  <c r="E109" i="41"/>
  <c r="E108" i="41"/>
  <c r="E107" i="41"/>
  <c r="E106" i="41"/>
  <c r="G104" i="41"/>
  <c r="G103" i="41"/>
  <c r="G102" i="41"/>
  <c r="G101" i="41"/>
  <c r="G100" i="41"/>
  <c r="G99" i="41"/>
  <c r="G98" i="41"/>
  <c r="G97" i="41"/>
  <c r="G96" i="41"/>
  <c r="E104" i="41"/>
  <c r="E103" i="41"/>
  <c r="E102" i="41"/>
  <c r="E101" i="41"/>
  <c r="E100" i="41"/>
  <c r="E99" i="41"/>
  <c r="E98" i="41"/>
  <c r="E97" i="41"/>
  <c r="E96" i="41"/>
  <c r="G94" i="41"/>
  <c r="G93" i="41"/>
  <c r="G92" i="41"/>
  <c r="G91" i="41"/>
  <c r="G90" i="41"/>
  <c r="G89" i="41"/>
  <c r="G88" i="41"/>
  <c r="G87" i="41"/>
  <c r="G86" i="41"/>
  <c r="E94" i="41"/>
  <c r="E93" i="41"/>
  <c r="E92" i="41"/>
  <c r="E91" i="41"/>
  <c r="E90" i="41"/>
  <c r="E89" i="41"/>
  <c r="E88" i="41"/>
  <c r="E87" i="41"/>
  <c r="E86" i="41"/>
  <c r="G84" i="41"/>
  <c r="G83" i="41"/>
  <c r="G82" i="41"/>
  <c r="G81" i="41"/>
  <c r="G80" i="41"/>
  <c r="E84" i="41"/>
  <c r="E83" i="41"/>
  <c r="E82" i="41"/>
  <c r="E81" i="41"/>
  <c r="E80" i="41"/>
  <c r="G78" i="41"/>
  <c r="G77" i="41"/>
  <c r="G76" i="41"/>
  <c r="G75" i="41"/>
  <c r="G74" i="41"/>
  <c r="G73" i="41"/>
  <c r="E78" i="41"/>
  <c r="E77" i="41"/>
  <c r="E76" i="41"/>
  <c r="E75" i="41"/>
  <c r="E74" i="41"/>
  <c r="E73" i="41"/>
  <c r="G71" i="41"/>
  <c r="G70" i="41"/>
  <c r="G69" i="41"/>
  <c r="G68" i="41"/>
  <c r="G67" i="41"/>
  <c r="G66" i="41"/>
  <c r="G65" i="41"/>
  <c r="E71" i="41"/>
  <c r="E70" i="41"/>
  <c r="E69" i="41"/>
  <c r="E68" i="41"/>
  <c r="E67" i="41"/>
  <c r="E66" i="41"/>
  <c r="E65" i="41"/>
  <c r="G63" i="41"/>
  <c r="G62" i="41"/>
  <c r="G61" i="41"/>
  <c r="G60" i="41"/>
  <c r="G59" i="41"/>
  <c r="G58" i="41"/>
  <c r="G57" i="41"/>
  <c r="E63" i="41"/>
  <c r="E62" i="41"/>
  <c r="E61" i="41"/>
  <c r="E60" i="41"/>
  <c r="E59" i="41"/>
  <c r="E58" i="41"/>
  <c r="E57" i="41"/>
  <c r="G55" i="41"/>
  <c r="G54" i="41"/>
  <c r="G53" i="41"/>
  <c r="G52" i="41"/>
  <c r="G51" i="41"/>
  <c r="G50" i="41"/>
  <c r="G49" i="41"/>
  <c r="E55" i="41"/>
  <c r="E54" i="41"/>
  <c r="E53" i="41"/>
  <c r="E52" i="41"/>
  <c r="E51" i="41"/>
  <c r="E50" i="41"/>
  <c r="E49" i="41"/>
  <c r="G47" i="41"/>
  <c r="E47" i="41"/>
  <c r="G43" i="41"/>
  <c r="G42" i="41"/>
  <c r="G41" i="41"/>
  <c r="E43" i="41"/>
  <c r="E42" i="41"/>
  <c r="E41" i="41"/>
  <c r="G39" i="41"/>
  <c r="G38" i="41"/>
  <c r="G37" i="41"/>
  <c r="E39" i="41"/>
  <c r="E38" i="41"/>
  <c r="E37" i="41"/>
  <c r="G35" i="41"/>
  <c r="G34" i="41"/>
  <c r="G33" i="41"/>
  <c r="E35" i="41"/>
  <c r="E34" i="41"/>
  <c r="E33" i="41"/>
  <c r="G28" i="41"/>
  <c r="G27" i="41"/>
  <c r="G26" i="41"/>
  <c r="E28" i="41"/>
  <c r="E27" i="41"/>
  <c r="E26" i="41"/>
  <c r="G23" i="41"/>
  <c r="G22" i="41"/>
  <c r="E23" i="41"/>
  <c r="E22" i="41"/>
  <c r="G19" i="41"/>
  <c r="E19" i="41"/>
  <c r="G17" i="41"/>
  <c r="G16" i="41"/>
  <c r="G15" i="41"/>
  <c r="E17" i="41"/>
  <c r="E16" i="41"/>
  <c r="E15" i="4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Костюченко Валерий Владиславович</author>
  </authors>
  <commentList>
    <comment ref="B225" authorId="0" shapeId="0" xr:uid="{00000000-0006-0000-0000-000001000000}">
      <text>
        <r>
          <rPr>
            <sz val="8"/>
            <color indexed="81"/>
            <rFont val="Tahoma"/>
            <family val="2"/>
            <charset val="204"/>
          </rPr>
          <t>Шкаф полностью готов для монтажа телекоммуникационного оборудования. В случае наличия давальческого оборудования, стоимость соответственно уменьшается</t>
        </r>
      </text>
    </comment>
  </commentList>
</comments>
</file>

<file path=xl/sharedStrings.xml><?xml version="1.0" encoding="utf-8"?>
<sst xmlns="http://schemas.openxmlformats.org/spreadsheetml/2006/main" count="3596" uniqueCount="1514">
  <si>
    <t>Единица измерения</t>
  </si>
  <si>
    <t>шт.</t>
  </si>
  <si>
    <t>1 км трассы</t>
  </si>
  <si>
    <t>1 опора</t>
  </si>
  <si>
    <t>Комплект (1 контейнер)</t>
  </si>
  <si>
    <t>1 шкаф</t>
  </si>
  <si>
    <t>Состав работ</t>
  </si>
  <si>
    <t>комплекс работ</t>
  </si>
  <si>
    <t>Установка, монтаж, ПНР VSAT</t>
  </si>
  <si>
    <t>1.1</t>
  </si>
  <si>
    <t>2.1</t>
  </si>
  <si>
    <t>2.2</t>
  </si>
  <si>
    <t>2.3</t>
  </si>
  <si>
    <t>3.1</t>
  </si>
  <si>
    <t>3.2</t>
  </si>
  <si>
    <t>3.3</t>
  </si>
  <si>
    <t>кан-км</t>
  </si>
  <si>
    <t>4.2</t>
  </si>
  <si>
    <t>4.3</t>
  </si>
  <si>
    <t>Экспертиза опор по требованию владельца инфраструктуры</t>
  </si>
  <si>
    <t>Комплекс работ по подключению оборудования к электропитанию постоянным/переменным током.</t>
  </si>
  <si>
    <t>4.4</t>
  </si>
  <si>
    <t>4.4.1</t>
  </si>
  <si>
    <t>4.4.2</t>
  </si>
  <si>
    <t>4.5</t>
  </si>
  <si>
    <t>4.6</t>
  </si>
  <si>
    <t>4.7</t>
  </si>
  <si>
    <t>4.8</t>
  </si>
  <si>
    <t>4.8.1</t>
  </si>
  <si>
    <t>4.8.2</t>
  </si>
  <si>
    <t>4.8.3</t>
  </si>
  <si>
    <t>4.9</t>
  </si>
  <si>
    <t>4.10</t>
  </si>
  <si>
    <t>4.11</t>
  </si>
  <si>
    <t>4.13</t>
  </si>
  <si>
    <t>точка доступа</t>
  </si>
  <si>
    <t>1 шт.</t>
  </si>
  <si>
    <t>за один комплект</t>
  </si>
  <si>
    <t xml:space="preserve">Разработка основного комплекта рабочих чертежей марки РРС
</t>
  </si>
  <si>
    <t>Монтаж и ПНР станционной части радиооборудования БС БШПД</t>
  </si>
  <si>
    <t>за пролет</t>
  </si>
  <si>
    <t>Монтаж трубостоек на крыше здания для организации  воздушно-кабельных переходов</t>
  </si>
  <si>
    <t>1 трубостойка</t>
  </si>
  <si>
    <t>1 волокно</t>
  </si>
  <si>
    <t>1 патчкорд</t>
  </si>
  <si>
    <t xml:space="preserve">СМР, ПИР, в том числе и не ограничиваясь перечисленным: установка и крепление кросса (включая стоимость кросса), разделка оптического кабеля, сварка волокон, тестирование рефлектометром. Оформление разрешительных документов и исполнительной документации. </t>
  </si>
  <si>
    <t>1 оптический кросс</t>
  </si>
  <si>
    <t>Перебивка колодцев кабельной канализации при докладке дополнительных каналов в существующей канализации</t>
  </si>
  <si>
    <t>Демонтаж опор</t>
  </si>
  <si>
    <t>комплекс</t>
  </si>
  <si>
    <t>ед. оборудования</t>
  </si>
  <si>
    <t>Установка блока из трех розеток (220В и типа RJ)</t>
  </si>
  <si>
    <t>1 комплект</t>
  </si>
  <si>
    <t>перекрытие</t>
  </si>
  <si>
    <t>1 м</t>
  </si>
  <si>
    <t xml:space="preserve">Монтаж  коробки радиотрансляционной РОН </t>
  </si>
  <si>
    <t>СМР, ПИР, прочие затраты, не ограничиваясь перечисленным: Монтаж   коробки радиотрансляционной РОН ,  с учетом материалов, в том числе РОН.</t>
  </si>
  <si>
    <t xml:space="preserve">Устройство ограждения контейнера </t>
  </si>
  <si>
    <t>ПИР, СМР (включая стоимость материалов, сопутствующих работ, изготовление, доставку , монтаж, установку ограждения контейнера). Оформление исполнительной документации.</t>
  </si>
  <si>
    <t>Демонтаж оборудования</t>
  </si>
  <si>
    <t>Сборка и монтаж антенны для эфирного TV</t>
  </si>
  <si>
    <t>пара</t>
  </si>
  <si>
    <t>Примечание</t>
  </si>
  <si>
    <t>ПИР, СМР. С учетом стоимости  материалов. Включает прокладку силового кабеля и кабеля заземления, не включает подключения и измерения.</t>
  </si>
  <si>
    <t>Удельная стоимость за единицу (базовое значение) без НДС, руб.</t>
  </si>
  <si>
    <t>Наименование  работ</t>
  </si>
  <si>
    <t>-</t>
  </si>
  <si>
    <t>1 км кабеля</t>
  </si>
  <si>
    <t>1 км трассы кабеля</t>
  </si>
  <si>
    <t>№ п/п</t>
  </si>
  <si>
    <t>ПИР, СМР, установка, настройка станции, подключение электропитания, заземления, включение в транспортную сеть, монтаж кросса, разделка и подключение станционных кабелей на кросс (емкость номеров). Включая стоимость кросса и материалов, оформление разрешительных документов с собственником здания на размещение оборудования.</t>
  </si>
  <si>
    <t>5.1</t>
  </si>
  <si>
    <t>5.2</t>
  </si>
  <si>
    <t>5.3</t>
  </si>
  <si>
    <t>Проведение предпроектных изысканий</t>
  </si>
  <si>
    <t>5.4</t>
  </si>
  <si>
    <t>5.5</t>
  </si>
  <si>
    <t>5.6</t>
  </si>
  <si>
    <t>5.7</t>
  </si>
  <si>
    <t>5.8</t>
  </si>
  <si>
    <t>5.9</t>
  </si>
  <si>
    <t>5.10</t>
  </si>
  <si>
    <t>5.11</t>
  </si>
  <si>
    <t>5.12</t>
  </si>
  <si>
    <t>5.13</t>
  </si>
  <si>
    <t>5.14</t>
  </si>
  <si>
    <t>5.15</t>
  </si>
  <si>
    <t>50% от стоимости монтажа</t>
  </si>
  <si>
    <t>м2</t>
  </si>
  <si>
    <t>м</t>
  </si>
  <si>
    <t>СМР, включая (но не ограничиваясь) стоимость оконечных кабельных устройств, кроссировочного провода  и материалов, органайзеров (при необходимости),  установку боксов в распределительных шкафах. Проведение  всех измерений. Оформление исполнительной документации.</t>
  </si>
  <si>
    <t>для ж/б опор</t>
  </si>
  <si>
    <t xml:space="preserve">ПИР, СМР, включая: стоимость колодца ККС-4,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</si>
  <si>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 xml:space="preserve">ПИР, СМР, включая: стоимость колодца ККС-5,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</si>
  <si>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ПИР, СМР, включая: разработка грунта; стоимость колодца ККТМ-1  и других необходимых материалов,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t>
  </si>
  <si>
    <t>Выполнение кроссировочных работ</t>
  </si>
  <si>
    <t>СМР, включая (но не ограничиваясь)  кроссировочного провода  и материалов. Проведение  всех измерений. Оформление исполнительной документации.</t>
  </si>
  <si>
    <t>Расшивка кабеля с медными жилами на кроссе.</t>
  </si>
  <si>
    <t xml:space="preserve">Монтаж оптического кросса  (ШКОН, ШКОС) </t>
  </si>
  <si>
    <t>Примечания:</t>
  </si>
  <si>
    <t xml:space="preserve">ПИР, СМР, включая: демонтаж ранее установленного колодца и его утилизация; стоимость нового колодца,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</si>
  <si>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в том числе стоимость ПИР</t>
  </si>
  <si>
    <t xml:space="preserve">ПИР, СМР, включая: стоимость колодца ККС-2,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</si>
  <si>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 xml:space="preserve">ПИР, СМР, включая: стоимость колодца ККС-3, люка, ж/б опорных колец, разработка грунта, гидроизоляция; вспомогательные материалы,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 </t>
  </si>
  <si>
    <t>Восстановление асфальтобетонных покрытий проезжей части</t>
  </si>
  <si>
    <t>Докладка каждого дополнительного канала кабельной канализации.</t>
  </si>
  <si>
    <t>Разработка основных предпроектных решений (включая перечень и стоимость работ).  Согласование предпроектных решений с Заказчиком. Согласование с Арендодателем и Клиентом: 
- размещения антенн и оборудования ; 
- трасс прокладки кабелей;
- схемы электроснабжения оборудования;
- Технических условий на электроснабжение.</t>
  </si>
  <si>
    <t xml:space="preserve">Настройка пролета РРС (юстировка антенн)
</t>
  </si>
  <si>
    <t xml:space="preserve">СМР, в том числе и не ограничиваясь перечисленным: демонтаж опор, транспортировка демонтированных опор на свалку или на склад Заказчика.  </t>
  </si>
  <si>
    <t>Проектно-изыскательские работы, получение разрешений, согласований, проведение экспертиз</t>
  </si>
  <si>
    <t>Изыскание потенциальных объектов, определение технической возможности для размещения оборудования</t>
  </si>
  <si>
    <t>объект</t>
  </si>
  <si>
    <t xml:space="preserve">Заключение договора аренды на объект для размещения оборудования (тех сопровождение). </t>
  </si>
  <si>
    <t xml:space="preserve"> Оформление по форме Заказчика, в соответствии с нормами действующего законодательства РФ, договора на размещение БС (аренды, услуг, иных форм договоров):
-сбор у арендодателя и предоставление Заказчику пакета документов для заключения договора, согласно требований Заказчика;
-подписание договора у всех заинтересованных сторон;
-сдача подписанного договора Заказчику. 
Письменное согласование от собственника возможности проведения работ по гарантийному письму до подписания договора.</t>
  </si>
  <si>
    <t xml:space="preserve">С оформлением Протокола лабораторных испытаний интенсивности электромагнитного поля и получение санитарно-эпидемиологических Заключений, в соответствии с результатами проведения экспертизы (оценки), на размещение РРЛ.
Разрабатывается с учетом расчета СИВ (суммарной интенсивности взаимодействия) от всех источников электромагнитных излучений радиочастотных устройств). 
Включает передачу материалов Рабочего проекта на строительство РЭС в управление Роспотребнадзора. Получение Санитарно-эпидемиологического и экспертного заключения территориального управления Роспотребнадзора по материалам проектной документации (форма Р1) с разрешением проектируемых решений.
В цену включены услуги подрядной организации по получению положительного Заключения, включая обязательные платежи.
</t>
  </si>
  <si>
    <t>Заключение разрабатывается специализированной организацией, имеющей разрешительную документацию на проведение данных работ. Позиция предусматривает: 
-сбор исходных данных для проведения поверочного расчета; 
-проведение поверочного расчета с целью определения возможности размещения дополнительных конструкций/оборудования Заказчика; 
- оформление и передачу Заказчику заключения о возможности размещения дополнительных конструкций/оборудования</t>
  </si>
  <si>
    <t>Расчет несущей способности антенной опоры с учетом доустанавливаемого оборудования и предоставление  заключения о несущей способности АМС, включая необходимые согласования</t>
  </si>
  <si>
    <t>Выполняется силами подрядчика, при условии наличия у него разрешительных документов на проведения данного вида работ, либо привлечение специализированной организации для проведения обследования и выпуска экспертного заключения, включая: 
- обследование технического состояния антенной опоры на предмет возможности размещения на ней дополнительных конструкций/оборудования Заказчика;
- проведение поверочного расчета с целью определения возможности размещения дополнительных конструкций/оборудования Заказчика;   
 проведение всех необходимых прочностных расчетов с выводами о возможности/не возможности использования обследуемого сооружения для нужд Заказчика
- оформление и передача Заказчику заключения о возможности размещения дополнительных конструкций/оборудования.   
-предоставление  Отчета с заключением и рекомендациями (в том числе отчет о вертикальности АМС).</t>
  </si>
  <si>
    <t>Строительно-монтажные и пуско-наладочные работы</t>
  </si>
  <si>
    <t>для объектов РРС (в том числе e-band)</t>
  </si>
  <si>
    <t>Может применяться  при наличии отдельного требования Заказчика</t>
  </si>
  <si>
    <t>Применяется только при наличии отдельного требования Заказчика</t>
  </si>
  <si>
    <t>Позиция предусматривает:
 - настройку пролета (юстировка антенн), тестирование оборудования и каналов в соответствии с рекомендациями фирмы-производителя и требованиями Заказчика;
- подготовку комплекта документов по результатам настройки и тестирования (Акт).</t>
  </si>
  <si>
    <t>5.16</t>
  </si>
  <si>
    <t>5.17</t>
  </si>
  <si>
    <t>для работ по созданию инфраструктуры</t>
  </si>
  <si>
    <t>5.18</t>
  </si>
  <si>
    <t>Монтаж АМС, в т.ч. металлоконструкция  (включая лестницу, заспинное ограждение, молниезащиту, светоограждение)</t>
  </si>
  <si>
    <t>Комплекс работ по изготовлению объекта, включая:
Приобретение. Доставка на площадку строительства БС. Сборка. Монтаж на фундаменте  или с использованием трубостоек, Подключение к системе молниезащиты и заземления БС. (включая все расходные материалы). Предоставление исполнительной документации, согласно требований Заказчика.</t>
  </si>
  <si>
    <t>5.19</t>
  </si>
  <si>
    <t>Строительство контура заземления</t>
  </si>
  <si>
    <t>Прочие работы</t>
  </si>
  <si>
    <t>5.21</t>
  </si>
  <si>
    <t>Компенсация за использование автовышки для необслуживаемых АМС.</t>
  </si>
  <si>
    <t>5.22</t>
  </si>
  <si>
    <t>Использование альпиниста</t>
  </si>
  <si>
    <t>Оплата за манипулятор и организацию "заставки" для проведения работ автовышки (мигающая стрелка, знаки, конуса, машина сопровождения и т.д.), оплата производится за одну смену по факту выполнения работ. Позиция применяется только для необслуживаемых АМС</t>
  </si>
  <si>
    <t>смена</t>
  </si>
  <si>
    <t xml:space="preserve">Предусмотрено использование альпиниста одну рабочую смену (8 часов) без учета времени в пути. </t>
  </si>
  <si>
    <t>Применяется при наличии обоснования для использования</t>
  </si>
  <si>
    <t>ПИР, СМР, прочие, не ограничиваясь перечисленным:  устройство, при необходимости, отверстия в стене с  заделкой (с установкой гильз),  устройство гнезд для подрозетников с восстановлением отделки стен, с учетом стоимости  материалов. Проверка. Оформление исполнительной документации.</t>
  </si>
  <si>
    <t>для объектов УЦН и спутниковой связи</t>
  </si>
  <si>
    <t>Установка, монтаж, ПНР точки доступа УЦН ( Wi-Fi)</t>
  </si>
  <si>
    <t>5.23</t>
  </si>
  <si>
    <t>Стоимость с учетом определения технологических решений монтажа на ответной части (существующей станции привязки)</t>
  </si>
  <si>
    <t>п.м. перехода</t>
  </si>
  <si>
    <t>Проектно-изыскательские работы (ПИР)</t>
  </si>
  <si>
    <t>ПИР: Разработка проектной документации, получение необходимых ТУ, согласований, разработка исполнительной документации.</t>
  </si>
  <si>
    <t>1 порт</t>
  </si>
  <si>
    <t>Обследование объекта</t>
  </si>
  <si>
    <t>Отчёт о выполнении ППР (включая эскизный проект, схему прокладки кабельных линий, перечень объемов работ), определение технической возможности и стоимости. Определение перечня необходимых согласующих организаций.</t>
  </si>
  <si>
    <t>1 объект</t>
  </si>
  <si>
    <t xml:space="preserve"> Монтаж кабельных трасс</t>
  </si>
  <si>
    <t xml:space="preserve">Демонтаж кабель каналов, коробов ПВХ </t>
  </si>
  <si>
    <t>СМР, демонтаж (разборка/сборка) кабель каналов, комплектующих (крышки, разделительные перегородки), включая сопутствующие работы.</t>
  </si>
  <si>
    <t xml:space="preserve">Демонтаж труб, гофры </t>
  </si>
  <si>
    <t>СМР, демонтаж, включая сопутствующие работы.</t>
  </si>
  <si>
    <t>Монтаж кабельных лотков потолочного/настенного типа, включая работы по установке узлов крепления, фурнитуры, поворотных элементов, сопутствующих работ, заземления (при необходимости), стоимость основных и  крепежных материалов.</t>
  </si>
  <si>
    <t xml:space="preserve">Прокладка кабеля </t>
  </si>
  <si>
    <t>Штробление стен и заделка борозды</t>
  </si>
  <si>
    <t>СМР, независимо от материалов поверхности, включая сопутствующие работы</t>
  </si>
  <si>
    <t>1м борозды</t>
  </si>
  <si>
    <t>м.</t>
  </si>
  <si>
    <t>Монтаж информационных розеток</t>
  </si>
  <si>
    <t xml:space="preserve"> СМР, установка, монтаж информационной розетки в стену, независимо от материалов поверхности, включая и не ограничиваясь перечисленным:  устройство  отверстия в стене с  заделкой,  устройство гнезд для подрозетников с восстановлением отделки стен, установкой розетки, стоимость основных и  крепежных материалов.</t>
  </si>
  <si>
    <t xml:space="preserve"> СМР, включая и не ограничиваясь перечисленным: установка, монтаж информационной розетки в/на короб/кабель-канал (мини колонна), стоимость основных и крепежных материалов.</t>
  </si>
  <si>
    <t>Демонтаж и отключение розетки</t>
  </si>
  <si>
    <t>СМР, демонтаж и отключение информационной розетки</t>
  </si>
  <si>
    <t>Обжим коннектора RJ11, RJ45</t>
  </si>
  <si>
    <t>СМР монтаж коннектора RJ11, RJ45, включая стоимость основных материалов (коннектор, колпачок).</t>
  </si>
  <si>
    <t>Обжим коннектора BNC</t>
  </si>
  <si>
    <t>СМР монтаж коннектора BNC, включая стоимость основных и крепежных материалов.</t>
  </si>
  <si>
    <t xml:space="preserve"> Монтаж силового оборудования</t>
  </si>
  <si>
    <t>Установка автоматического выключателя</t>
  </si>
  <si>
    <t>Установка и подключение автоматического  выключателя (220В,50Гц), с номинальным током до 63 А во вводно-распределительном устройстве здания, включая стоимость основных и крепежных материалов.</t>
  </si>
  <si>
    <t>СМР, сборка монтаж навесного бокса (щита) не укомплектованного автоматическими выключателями, независимо от материала поверхности, включая  стоимость основных и крепежных материалов.</t>
  </si>
  <si>
    <t>Установка, монтаж, подключение розетки, выключателя (скрытый монтаж)</t>
  </si>
  <si>
    <t xml:space="preserve"> СМР, Установка, монтаж розетки, выключателя в стену, независимо от материалов поверхности, включая и не ограничиваясь перечисленным: устройство  отверстия в стене с  заделкой,  устройство гнезд для подрозетников с восстановлением отделки стен, стоимость основных и  крепежных материалов.</t>
  </si>
  <si>
    <t>Устанвока,монтаж, подключение розетки, выключателя в/на короб/кабель канал</t>
  </si>
  <si>
    <t>СМР, включая и не ограничиваясь перечисленным: установка, монтаж розетки, выключателя в/на коробе/кабель-канале (мини колонне), стоимость основных и крепежных материалов.</t>
  </si>
  <si>
    <t xml:space="preserve">Демонтаж розетки/выключателя </t>
  </si>
  <si>
    <t>СМР, демонтаж и отключение розетки/выключателя</t>
  </si>
  <si>
    <t>Установка Разветвительной коробки</t>
  </si>
  <si>
    <t>СМР: Монтаж и расключение разветвительной коробки, включая стоимость основных и  крепежных материалов.</t>
  </si>
  <si>
    <t>Монтаж электрического счетчика</t>
  </si>
  <si>
    <t>Монтаж электрического счетчика, включая стоимость основных и  крепежных материалов.</t>
  </si>
  <si>
    <t xml:space="preserve">Монтаж шины заземления  </t>
  </si>
  <si>
    <t>СМР, монтаж шины заземления (ГЗШ), подключение к контору заземления, маркировка, с учетом стоимости крепежных изделий.</t>
  </si>
  <si>
    <t>Монтаж оборудования в существующий телекоммуникационный шкаф/стойку *</t>
  </si>
  <si>
    <t>1-я 'ед. оборудования</t>
  </si>
  <si>
    <t xml:space="preserve">пара </t>
  </si>
  <si>
    <t>Монтаж медножильных  патч-кордов</t>
  </si>
  <si>
    <t>Маркировка розетки и порта на патч панели</t>
  </si>
  <si>
    <t>Сертификация и тестирование</t>
  </si>
  <si>
    <t xml:space="preserve">Тестирование соединений UTP, STP на соответствие категории 5e,6e </t>
  </si>
  <si>
    <t xml:space="preserve"> СМР, с учетом сопутствующих работ измерительными приборами, составление отчета измерений и сертификации,
Внесение данных в исполнительную документацию.</t>
  </si>
  <si>
    <t xml:space="preserve">порт /направление </t>
  </si>
  <si>
    <t>Пусконаладочные работы  по электромонтажным работам</t>
  </si>
  <si>
    <t>СМР, Укладка антистатического, токопроводящего линолеума с проваркой швов, медной лентой, устройством заземления, включая подготовку поверхности к производству работ, стоимость основных и  расходных материалов.</t>
  </si>
  <si>
    <t xml:space="preserve">Монтаж фальшпола </t>
  </si>
  <si>
    <t>СМР, устройство, монтаж фальшпола, подготовка поверхности, установка конструкций основания, укладка плит, включая стоимость основных и расходных материалов.</t>
  </si>
  <si>
    <t>Демонтаж/монтаж плит фальшпола</t>
  </si>
  <si>
    <t>Демонтаж/монтаж плит фальш пола,  частичная разборка и сборка устроенных конструкций</t>
  </si>
  <si>
    <t>Демонтаж/монтаж фальшпотолка (Реечного типа/Амстронг)</t>
  </si>
  <si>
    <t xml:space="preserve">СМР, частичная разборка и сборка устроенных конструкций, включая сопутствующие работы. </t>
  </si>
  <si>
    <t>Только плитки</t>
  </si>
  <si>
    <t>Монтаж оптических  патч-кордов</t>
  </si>
  <si>
    <t xml:space="preserve">Организация АРМ </t>
  </si>
  <si>
    <t>Монтаж/установка автоматизированного рабочего места (АРМ) (без учета настройки и тестирования)</t>
  </si>
  <si>
    <t xml:space="preserve">СМР: Монтаж АРМ  в составе:  монитор, системный блок,/моноблок, блок бесперебойного питания, клавиатура и/или мышь, включая их установку, подключение к сети электропитания, сети ЛВС. С учетом стоимости работ, стоимости крепежных  материалов и патч-корда. </t>
  </si>
  <si>
    <t>1 АРМ</t>
  </si>
  <si>
    <t>Установка/замена блока бесперебойного источника питания под автоматизированное рабочее место (АРМ)</t>
  </si>
  <si>
    <t>СМР: Установка/замена блока бесперебойного источника питания под автоматизированное рабочее место (АРМ), подключение к сети электропитания.</t>
  </si>
  <si>
    <t>1 устройство</t>
  </si>
  <si>
    <t>Монтаж/установка периферийного устройства (с учетом настройки и тестирования)</t>
  </si>
  <si>
    <t xml:space="preserve">СМР: Монтаж периферийного устройства (Сканер, принтер, копир, плоттер, МФУ),  подключение к сети электропитания, сети ЛВС, настройка, тестирование.  С учетом стоимости работ по прокладке патч-корда,  стоимости крепежных  материалов и патч-корда. </t>
  </si>
  <si>
    <t xml:space="preserve">Демонтаж АРМ/периферийного устройства </t>
  </si>
  <si>
    <t xml:space="preserve">Настройка и тестирование автоматизированного рабочего места (АРМ). </t>
  </si>
  <si>
    <t xml:space="preserve">СМР: В том числе включая и не ограничиваясь перечисленным: монтаж/установка телевизионной панели размером диагонали до 55 дюймов, разметка и сверление отверстий, установка кронштейна, завинчивание винтов до проектного усилия, коммутация, подключение к сети электропитания. </t>
  </si>
  <si>
    <t>СМР: В том числе включая и не ограничиваясь перечисленным: монтаж/установка телевизионной панели размером диагонали свыше 55 дюймов, разметка и сверление отверстий, установка кронштейна, завинчивание винтов до проектного усилия, коммутация, подключение к сети электропитания.</t>
  </si>
  <si>
    <t>Установка/подключение телефонного аппарата</t>
  </si>
  <si>
    <t>Предустановка/установка программного обеспечения Заказчика, 'проверка наличия физического соединения; настройка сетевых параметров; заведение в домен (например, посредством запуска заранее подготовленного скрипта);
 проверка связности со шлюзом по умолчанию (пинг из «черного окна», cmd);
проверка доступа в локальным ресурсам Заказчика (по инструкции);
 проверка доступа в внешним ресурсам Интернет (по инструкции);
 настройка подключения к сетевым принтерам (или по инструкции или посредством запуска скрипта);
 проверка сетевой печати;
 настройка почтового клиента (по инструкции или посредством запуска скрипта);
 проверка работы электронной почты – отправка/ получение тестового сообщения по инструкции.</t>
  </si>
  <si>
    <t>1.1.1</t>
  </si>
  <si>
    <t>порт</t>
  </si>
  <si>
    <t>1.1.2</t>
  </si>
  <si>
    <t>1.1.3</t>
  </si>
  <si>
    <t>1.2</t>
  </si>
  <si>
    <t>1.2.1</t>
  </si>
  <si>
    <t>1.3</t>
  </si>
  <si>
    <t>1.3.1</t>
  </si>
  <si>
    <t>1.3.2</t>
  </si>
  <si>
    <t>Строительство широкополосных (СКТВ) ДРС (с учётом полного перечня расходных и монтажных материалов, за исключением работ по установке и шкафов)</t>
  </si>
  <si>
    <t>Проведение измерений сопротивления изоляции электрических кабелей и сопротивление переходных контактов связей с заземлителями подъездных усилителей</t>
  </si>
  <si>
    <t>Проведение измерений сопротивления изоляции электрических кабелей и сопротивление переходных контактов связей с заземлителями подъездных усилителей с оформлением протоколов на здание.</t>
  </si>
  <si>
    <t>Обновление программного обеспечения оборудования</t>
  </si>
  <si>
    <t>Монтаж оптических кроссовых шкафов</t>
  </si>
  <si>
    <t>порт 1-го каскада</t>
  </si>
  <si>
    <t>3.1.1</t>
  </si>
  <si>
    <t>3.1.2</t>
  </si>
  <si>
    <t>3.1.3</t>
  </si>
  <si>
    <t>3.2.1</t>
  </si>
  <si>
    <t>3.2.2</t>
  </si>
  <si>
    <t>3.2.3</t>
  </si>
  <si>
    <t>3.3.1</t>
  </si>
  <si>
    <t>3.3.2</t>
  </si>
  <si>
    <t>3.3.3</t>
  </si>
  <si>
    <t>ПИР, СМР: оборудования OLT, коммутатора концентрации, подключение к питанию, кроссировка на оптический кросс, включая стоимость расходных материалов, кабелей и комплектующих, оформление исполнительной документации. (Все работы производятся в существующих стойках и шкафах).</t>
  </si>
  <si>
    <t>1 ед. оборудования</t>
  </si>
  <si>
    <t>4.1.1</t>
  </si>
  <si>
    <t>4.2.1</t>
  </si>
  <si>
    <t>4.2.2</t>
  </si>
  <si>
    <t>4.2.3</t>
  </si>
  <si>
    <t>4.2.4</t>
  </si>
  <si>
    <t>4.2.5</t>
  </si>
  <si>
    <t>4.2.6</t>
  </si>
  <si>
    <t>4.2.7</t>
  </si>
  <si>
    <t>4.3.1</t>
  </si>
  <si>
    <t>4.3.2</t>
  </si>
  <si>
    <t>4.3.3</t>
  </si>
  <si>
    <t>4.3.4</t>
  </si>
  <si>
    <t>4.3.5</t>
  </si>
  <si>
    <t>4.3.6</t>
  </si>
  <si>
    <t>4.3.7</t>
  </si>
  <si>
    <t xml:space="preserve">Монтаж шкафа, стойки </t>
  </si>
  <si>
    <t>СМР, Прочие затраты: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включая стоимость основных и расходных материалов, в том числе для герметизации муфты (при необходимости),  стоимость переездов из точки измерений 1 (откуда ведется измерение) в точку измерений 2 (где находится источник), другие транспортные и все прочие расходы.</t>
  </si>
  <si>
    <t>5.5.1</t>
  </si>
  <si>
    <t>5.5.2</t>
  </si>
  <si>
    <t>Монтаж уличного шкафа распределительного (ШР)</t>
  </si>
  <si>
    <t>6.1</t>
  </si>
  <si>
    <t>6.2</t>
  </si>
  <si>
    <t>6.3</t>
  </si>
  <si>
    <t>6.4</t>
  </si>
  <si>
    <t>6.5</t>
  </si>
  <si>
    <t>6.6</t>
  </si>
  <si>
    <t>6.7</t>
  </si>
  <si>
    <t>6.8</t>
  </si>
  <si>
    <t>6.9</t>
  </si>
  <si>
    <t>1 коммутатор</t>
  </si>
  <si>
    <t>6.10</t>
  </si>
  <si>
    <t>6.11</t>
  </si>
  <si>
    <t>6.12</t>
  </si>
  <si>
    <t>6.13</t>
  </si>
  <si>
    <t>6.14</t>
  </si>
  <si>
    <t>6.15</t>
  </si>
  <si>
    <t>6.16</t>
  </si>
  <si>
    <t>6.17</t>
  </si>
  <si>
    <t>6.18</t>
  </si>
  <si>
    <t>6.19</t>
  </si>
  <si>
    <t>6.20</t>
  </si>
  <si>
    <t>ПИР, СМР, Прочие затраты, не ограничиваясь перечисленным: прокладка и монтаж кабеля по трубе/коробу/гофре/металлорукаве с устройством, при необходимости, отверстий в стенах с заделкой (с установкой гильз),  с учетом стоимости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</si>
  <si>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6.21</t>
  </si>
  <si>
    <t>ПИР, СМР, Прочие затраты, не ограничиваясь перечисленным: прокладка трубы/короба/гофры, прокладка и монтаж кабеля по трубе/коробу/гофре с устройством, при необходимости, отверстий в стенах  с заделкой (с установкой гильз), с учетом стоимости трубы/короба/гофры,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</si>
  <si>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6.22</t>
  </si>
  <si>
    <t>ПИР, СМР, Прочие затраты, не ограничиваясь перечисленным: прокладка металлорукава, прокладка и монтаж кабеля по металлорукаву с устройством, при необходимости, отверстий в стенах  (с установкой гильз),  с заделкой,  с учетом стоимости металлорукава,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</si>
  <si>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6.23</t>
  </si>
  <si>
    <t>ПИР, СМР, Прочие затраты, не ограничиваясь перечисленным: прокладка и монтаж кабеля скобами по стене, с устройством, при необходимости, отверстий в стенах  с заделкой, (с установкой гильз),  с учетом стоимости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</si>
  <si>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6.24</t>
  </si>
  <si>
    <t>ПИР, СМР, Прочие затраты, не ограничиваясь перечисленным: прокладка и монтаж кабеля по борозде с креплением скобами, с устройством и заделкой борозды с финишной отделкой, с устройством, при необходимости, отверстий в стенах  с заделкой (с установкой гильз),  с учетом стоимости кабеля, прочих материалов. Проверка состояния изоляции кабеля до и после прокладки. Маркировка. Присоединение к зажимам жил и проводов. Измерения. Оформление исполнительной документации.</t>
  </si>
  <si>
    <t>6.25</t>
  </si>
  <si>
    <t>6.26</t>
  </si>
  <si>
    <t>6.27</t>
  </si>
  <si>
    <t>6.28</t>
  </si>
  <si>
    <t>6.29</t>
  </si>
  <si>
    <t>6.30</t>
  </si>
  <si>
    <t xml:space="preserve">Прокладка и монтаж кабеля типа UTP/FTP методом воздушного перехода с оконцовкой коннектором типа RJ </t>
  </si>
  <si>
    <t>ПИР, СМР, Прочие затраты, не ограничиваясь перечисленным: прокладка и монтаж кабеля методом ВП с учетом разделок, оконцовки с устройством, при необходимости, отверстий в конструкциях  с заделкой (с установкой гильз), с учетом стоимости  кабеля,  коннектора, прочих материалов.   Оформление исполнительной документации.</t>
  </si>
  <si>
    <t>6.31</t>
  </si>
  <si>
    <t>6.32</t>
  </si>
  <si>
    <t>6.33</t>
  </si>
  <si>
    <t>6.34</t>
  </si>
  <si>
    <t>6.35</t>
  </si>
  <si>
    <t>6.36</t>
  </si>
  <si>
    <t>6.37</t>
  </si>
  <si>
    <t>ПИР, СМР, прочие, не ограничиваясь перечисленным: прокладка и монтаж кабеля по трубе/коробу/гофре от установленного оборудования,  с учетом стоимости разделки,  с устройством, при необходимости, отверстий в стенах  с заделкой (с установкой гильз),  с учетом стоимости кабеля, прочих материалов.  Оформление исполнительной документации.</t>
  </si>
  <si>
    <t>подъезд</t>
  </si>
  <si>
    <t>6.38</t>
  </si>
  <si>
    <t>6.39</t>
  </si>
  <si>
    <t>6.40</t>
  </si>
  <si>
    <t>6.41</t>
  </si>
  <si>
    <t>Организация БС телеметрии</t>
  </si>
  <si>
    <t>одна БС</t>
  </si>
  <si>
    <t>6.42</t>
  </si>
  <si>
    <t>6.43</t>
  </si>
  <si>
    <t>6.44</t>
  </si>
  <si>
    <t>СМР, ПИР включая, не ограничиваясь перечисленным:  установку делителей, ответвителей, с учетом стоимости всех материалов (включая стоимость коаксиального кабеля любого типа), прочие, оформление разрешительных документов, исполнительной документации.</t>
  </si>
  <si>
    <t>6.45</t>
  </si>
  <si>
    <t>СМР, ПИР включая, не ограничиваясь перечисленным:  установку делителей, ответвителей, труб, коробов, кабель-каналов и др., с учетом стоимости всех материалов (включая стоимость коаксиального кабеля любого типа), прочие, оформление разрешительных документов, исполнительной документации.</t>
  </si>
  <si>
    <t>6.46</t>
  </si>
  <si>
    <t>6.47</t>
  </si>
  <si>
    <t>6.48</t>
  </si>
  <si>
    <t>6.49</t>
  </si>
  <si>
    <t>Монтаж оборудования ГО и ЧС</t>
  </si>
  <si>
    <t>6.50</t>
  </si>
  <si>
    <t>6.51</t>
  </si>
  <si>
    <t>6.52</t>
  </si>
  <si>
    <t>6.53</t>
  </si>
  <si>
    <t>ПИР, СМР, Прочие затраты, не ограничиваясь перечисленным: Разработка грунта, прокладка ПВХ трубки в грунт, засыпка, трамбовка, с учетом стоимости материалов, с восстановлением благоустройства.</t>
  </si>
  <si>
    <t>6.54</t>
  </si>
  <si>
    <t>ПНР на систему домофонии</t>
  </si>
  <si>
    <t>ПНР на вызывную панель.</t>
  </si>
  <si>
    <t>6.55</t>
  </si>
  <si>
    <t>Прокладка распределительного радиофидера</t>
  </si>
  <si>
    <t>ПИР, СМР: Монтаж медножильной фидерной линии 240В методом подвеса на трубостойки, включая кабель, трубостойки, анкера и расходные материалы.</t>
  </si>
  <si>
    <t>6.56</t>
  </si>
  <si>
    <t>ПИР, СМР:  Включено, не ограничиваясь перечисленным:  прокладка и монтаж провода с устройством и заделкой борозды с финишной отделкой, с учетом стоимости всех материалов, прочие, оформление разрешительных документов, исполнительной документации.</t>
  </si>
  <si>
    <t>6.57</t>
  </si>
  <si>
    <t>ПИР, СМР: Монтаж и расключение разветвительной коробки, с учетом стоимости материалов.</t>
  </si>
  <si>
    <t>6.58</t>
  </si>
  <si>
    <t>Установка абонентской розетки (наружная, встроенная)</t>
  </si>
  <si>
    <t>ПИР, СМР: Монтаж наружной абонентской розетки, с учетом стоимости материалов.</t>
  </si>
  <si>
    <t>6.59</t>
  </si>
  <si>
    <t>Установка ТАМУ (Трансформатор абонентский унифицированный)</t>
  </si>
  <si>
    <t>6.60</t>
  </si>
  <si>
    <t>Монтаж электросчетчика с радиомодулем</t>
  </si>
  <si>
    <t>6.62</t>
  </si>
  <si>
    <t>СМР: Включая весь перечень работ но настройке оборудования.</t>
  </si>
  <si>
    <t>6.63</t>
  </si>
  <si>
    <t>1 ДХ</t>
  </si>
  <si>
    <t>6.64</t>
  </si>
  <si>
    <t>6.65</t>
  </si>
  <si>
    <t>Основная расценка при организации абонентской линии от ШАН/КРТ в ДХ абонента!</t>
  </si>
  <si>
    <t>Основная расценка при организации абонентской линии от ОРК в ДХ абонента!</t>
  </si>
  <si>
    <t>4.4.5</t>
  </si>
  <si>
    <t xml:space="preserve"> Строительство ЛКСС</t>
  </si>
  <si>
    <t>4.4.3</t>
  </si>
  <si>
    <t>4.4.4</t>
  </si>
  <si>
    <t>4.4.6</t>
  </si>
  <si>
    <t>4.4.7</t>
  </si>
  <si>
    <t>4.6.1</t>
  </si>
  <si>
    <t>4.6.2</t>
  </si>
  <si>
    <t>4.6.3</t>
  </si>
  <si>
    <t>4.6.4</t>
  </si>
  <si>
    <t>4.6.5</t>
  </si>
  <si>
    <t>4.7.1</t>
  </si>
  <si>
    <t>4.7.2</t>
  </si>
  <si>
    <t>4.7.3</t>
  </si>
  <si>
    <t>4.7.4</t>
  </si>
  <si>
    <t>4.7.5</t>
  </si>
  <si>
    <t>4.7.6</t>
  </si>
  <si>
    <t>4.7.7</t>
  </si>
  <si>
    <t>4.7.8</t>
  </si>
  <si>
    <t>4.7.9</t>
  </si>
  <si>
    <t>4.8.4</t>
  </si>
  <si>
    <t>4.8.5</t>
  </si>
  <si>
    <t>4.8.6</t>
  </si>
  <si>
    <t>4.8.7</t>
  </si>
  <si>
    <t>4.8.8</t>
  </si>
  <si>
    <t>4.8.9</t>
  </si>
  <si>
    <t>Основная расценка при организации абонентской линии  от ШАН/КРТ в ДХ абонента!</t>
  </si>
  <si>
    <t>Комплексные услуги (домофония/радиофикация/видеонаблюдение/беспроводной доступ/телеметрия)</t>
  </si>
  <si>
    <t>Прокладка и монтаж кабеля  внутри лифтовой камеры в шахте лифта</t>
  </si>
  <si>
    <t>Устройство линий связи</t>
  </si>
  <si>
    <t>Устройство линий электропитания</t>
  </si>
  <si>
    <t>ПИР, СМР, Прочие затраты, не ограничиваясь перечисленным: прокладка и монтаж кабеля по стене (в т.ч. по фасаду) от установленных ШАН и патч-панелей, с учетом стоимости разделки, устройством отверстий в стенах (с установкой гильз), заделкой, с учетом стоимости кабеля, коннектора/розетки RJ, прочих материалов. Оформление исполнительной документации.</t>
  </si>
  <si>
    <t>Не применимо совместно с расценками пп. 4.2÷4.4</t>
  </si>
  <si>
    <t>4.5.1</t>
  </si>
  <si>
    <t>4.5.2</t>
  </si>
  <si>
    <t>4.5.3</t>
  </si>
  <si>
    <t>4.5.4</t>
  </si>
  <si>
    <t>4.5.5</t>
  </si>
  <si>
    <t>4.5.6</t>
  </si>
  <si>
    <t>Работы и Услуги. Включено, не ограничиваясь перечисленным: прокладка и монтаж кабеля по стене или по существующим конструкциям от кроссового устройства (ОРШ/ОРК) до оптической розетки (с её стоимостью и установкой), с устройством отверстий в стенах, (с установкой гильз) с заделкой, с учетом стоимости кабеля, всех материалов и оптической розетки. С учетом стоимости разделки. Оформление исполнительной документации.</t>
  </si>
  <si>
    <t>Работы и Услуги. Включено, не ограничиваясь перечисленным: прокладка и монтаж кабеля по стене или по конструкциям (с их установкой) от кроссового устройства (ОРШ/ОРК) до оптической розетки (с её стоимостью и установкой), с устройством отверстий в стенах,  (с установкой гильз) с заделкой, с учетом стоимости кабеля, всех материалов, конструкций и оптической розетки. С учетом стоимости разделки. Оформление исполнительной документации.</t>
  </si>
  <si>
    <t>6.66</t>
  </si>
  <si>
    <t>6.67</t>
  </si>
  <si>
    <t>6.68</t>
  </si>
  <si>
    <t>6.69</t>
  </si>
  <si>
    <t>6.70</t>
  </si>
  <si>
    <t>6.71</t>
  </si>
  <si>
    <t>6.72</t>
  </si>
  <si>
    <t>6.73</t>
  </si>
  <si>
    <t>6.74</t>
  </si>
  <si>
    <t>6.75</t>
  </si>
  <si>
    <t>6.76</t>
  </si>
  <si>
    <t>6.77</t>
  </si>
  <si>
    <t>6.78</t>
  </si>
  <si>
    <t>6.79</t>
  </si>
  <si>
    <t>6.80</t>
  </si>
  <si>
    <t>6.83</t>
  </si>
  <si>
    <t>6.84</t>
  </si>
  <si>
    <t>6.85</t>
  </si>
  <si>
    <t>6.86</t>
  </si>
  <si>
    <t>6.87</t>
  </si>
  <si>
    <t>6.88</t>
  </si>
  <si>
    <t>6.90</t>
  </si>
  <si>
    <t>6.92</t>
  </si>
  <si>
    <t>6.93</t>
  </si>
  <si>
    <t>6.94</t>
  </si>
  <si>
    <t>6.95</t>
  </si>
  <si>
    <t>6.96</t>
  </si>
  <si>
    <t>6.97</t>
  </si>
  <si>
    <t>6.98</t>
  </si>
  <si>
    <t>6.99</t>
  </si>
  <si>
    <t>Раздел 7. Беспроводный доступ</t>
  </si>
  <si>
    <t>7.1</t>
  </si>
  <si>
    <t>7.2</t>
  </si>
  <si>
    <t>7.3</t>
  </si>
  <si>
    <t>7.4</t>
  </si>
  <si>
    <t>7.5</t>
  </si>
  <si>
    <t>7.6</t>
  </si>
  <si>
    <t>7.7</t>
  </si>
  <si>
    <t>7.8</t>
  </si>
  <si>
    <t>7.9</t>
  </si>
  <si>
    <t>7.10</t>
  </si>
  <si>
    <t>7.11</t>
  </si>
  <si>
    <t>7.12</t>
  </si>
  <si>
    <t>7.13</t>
  </si>
  <si>
    <t>7.14</t>
  </si>
  <si>
    <t>7.15</t>
  </si>
  <si>
    <t>7.16</t>
  </si>
  <si>
    <t>7.17</t>
  </si>
  <si>
    <t>7.18</t>
  </si>
  <si>
    <t>7.19</t>
  </si>
  <si>
    <t>7.20</t>
  </si>
  <si>
    <t>7.21</t>
  </si>
  <si>
    <t>7.22</t>
  </si>
  <si>
    <t>8.0.1</t>
  </si>
  <si>
    <t>8.0.2</t>
  </si>
  <si>
    <t>8.5.4.</t>
  </si>
  <si>
    <t>8.4.4</t>
  </si>
  <si>
    <t>8.4.5</t>
  </si>
  <si>
    <t>8.4.6</t>
  </si>
  <si>
    <t>8.4.7</t>
  </si>
  <si>
    <t>8.5.1</t>
  </si>
  <si>
    <t>8.5.2</t>
  </si>
  <si>
    <t>8.5.6</t>
  </si>
  <si>
    <t>8.5.7</t>
  </si>
  <si>
    <t>8.5.8</t>
  </si>
  <si>
    <t>8.5.9</t>
  </si>
  <si>
    <t>8.6.1</t>
  </si>
  <si>
    <t>8.6.2</t>
  </si>
  <si>
    <t>8.7.1</t>
  </si>
  <si>
    <t>8.7.2</t>
  </si>
  <si>
    <t>8.7.3</t>
  </si>
  <si>
    <t>8.7.4</t>
  </si>
  <si>
    <t>8.7.5</t>
  </si>
  <si>
    <t>8.7.6</t>
  </si>
  <si>
    <t>8.7.7</t>
  </si>
  <si>
    <t>8.7.8</t>
  </si>
  <si>
    <t>Не применяется совместно с Работами раздела с 1 по 3 включительно</t>
  </si>
  <si>
    <t>Не применяется совместно с Работами раздела с 1÷2 включительно</t>
  </si>
  <si>
    <t>Не применяется совместно с Работами раздела 1 включительно</t>
  </si>
  <si>
    <t>Линия</t>
  </si>
  <si>
    <t xml:space="preserve"> Домовая распределительная сеть (ДРС)</t>
  </si>
  <si>
    <t>ПИР, СМР: демонтаж шкафа, транспортировка демонтированного оборудования другое место установки или на склад заказчика, оформление разрешительных документов; оформление акта сдачи-приемки заказчику.</t>
  </si>
  <si>
    <t>1шт</t>
  </si>
  <si>
    <t xml:space="preserve">Демонтаж оборудования из телекоммуникационного шкафа/стойки </t>
  </si>
  <si>
    <t xml:space="preserve">Демонтаж/монтаж фасадной керамической плитки, алюкобонд и пр. </t>
  </si>
  <si>
    <t>до 10x2</t>
  </si>
  <si>
    <t>1 муфта</t>
  </si>
  <si>
    <t>до 20x2</t>
  </si>
  <si>
    <t>до 30x2</t>
  </si>
  <si>
    <t>до 50x2</t>
  </si>
  <si>
    <t>до 100x2</t>
  </si>
  <si>
    <t>до 200x2</t>
  </si>
  <si>
    <t>до 300x2</t>
  </si>
  <si>
    <t>до 400x2</t>
  </si>
  <si>
    <t>до 600x2</t>
  </si>
  <si>
    <t>до 800x2</t>
  </si>
  <si>
    <t>Строительство сетей FTTB в Комплексных Новостройках:</t>
  </si>
  <si>
    <t xml:space="preserve">Монтаж оборудования </t>
  </si>
  <si>
    <t>Установка доводчика</t>
  </si>
  <si>
    <t>Комплекс работ по установке БС сбора телеметрических показаний, исключая оконечное оборудование. Включая стоимость оборудования, материалов и работ «под ключ» стоимость. Комплекс работ по регистрации РЭС планировать отдельно.</t>
  </si>
  <si>
    <t>Строительство сетей абонентского доступа по технологии GPON Комплексных Новостройках:</t>
  </si>
  <si>
    <t xml:space="preserve">в случае, если протяженность трассы кабельной линии менее 100 м, стоимость приравнивается к удельной стоимости = 100 м независимо от фактической длины. </t>
  </si>
  <si>
    <t>4.9.1</t>
  </si>
  <si>
    <t>4.9.2</t>
  </si>
  <si>
    <t>4.9.3</t>
  </si>
  <si>
    <t>4.9.5</t>
  </si>
  <si>
    <t>4.9.4</t>
  </si>
  <si>
    <t>4.9.6</t>
  </si>
  <si>
    <t>4.9.8</t>
  </si>
  <si>
    <t>4.9.7</t>
  </si>
  <si>
    <t>4.9.9</t>
  </si>
  <si>
    <t xml:space="preserve">Монтаж муфты прямой/разветвительной  на  медном кабеле </t>
  </si>
  <si>
    <t xml:space="preserve">Демонтаж  кабеля </t>
  </si>
  <si>
    <t>1 шт</t>
  </si>
  <si>
    <t>8.7.9</t>
  </si>
  <si>
    <t>Демонтаж/монтаж облицовочной фасадной плитки (вентилируемый фасад)</t>
  </si>
  <si>
    <t>ПИР, СМР, включая: разработка грунта; стоимость КОТ-1/КОТ-2, плиты ПАКС  и других необходимых материалов, включая транспортные издержки; восстановление зелёных зон, проезжей части и пешеходных дорожек; Оформление разрешительных документов и исполнительной документации.</t>
  </si>
  <si>
    <t>Подъём горловин колодцев</t>
  </si>
  <si>
    <t>Организация каждого дополнительного канала методом горизонтально-направленного бурения</t>
  </si>
  <si>
    <t>5.24</t>
  </si>
  <si>
    <t>5.25</t>
  </si>
  <si>
    <t>5.26</t>
  </si>
  <si>
    <t>При необходимости, применяется совместно с Работами 1.1; 1.2; 2.1; 2.3.</t>
  </si>
  <si>
    <t xml:space="preserve">ПИР, СМР, обследование конструкций, не ограничиваясь перечисленным (включая стоимость материалов, конструкций, трубостойки): разборка покрытия кровли, крепление трубостойки, оттяжек (при необходимости) к существующим конструкциям здания, антикоррозионная обработка конструкций, гидроизоляция кровли, восстановление покрытия кровли. Оформление  разрешительных документов и исполнительной документации.   </t>
  </si>
  <si>
    <r>
      <t xml:space="preserve">Прокладка внутриобъектового ВОК,  со свободными модулями (ДРС GPON) </t>
    </r>
    <r>
      <rPr>
        <b/>
        <sz val="12"/>
        <color rgb="FF0000FF"/>
        <rFont val="Calibri"/>
        <family val="2"/>
        <charset val="204"/>
        <scheme val="minor"/>
      </rPr>
      <t/>
    </r>
  </si>
  <si>
    <t>СМР, Прочие затраты: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и все прочие расходы.</t>
  </si>
  <si>
    <t>Сварка волокон (применяется только при установке/замене ОРК на существующей кабельной линии)</t>
  </si>
  <si>
    <t>6.25.1</t>
  </si>
  <si>
    <t>6.25.2</t>
  </si>
  <si>
    <t>6.25.3</t>
  </si>
  <si>
    <t>6.25.4</t>
  </si>
  <si>
    <t>6.32.1</t>
  </si>
  <si>
    <t>6.32.2</t>
  </si>
  <si>
    <t>6.32.3</t>
  </si>
  <si>
    <t>Не применяется к разделу 2.</t>
  </si>
  <si>
    <t xml:space="preserve"> Не применяется к разделу 1.</t>
  </si>
  <si>
    <t>Монтаж второго и каждого последующего коммутатора доступа/ СПВ-конвертера  в существующий телекоммуникационный шкаф в узле доступа</t>
  </si>
  <si>
    <t>Не применяется совместно с Работами раздела 1; 2 включительно</t>
  </si>
  <si>
    <t>6.103</t>
  </si>
  <si>
    <t>6.104</t>
  </si>
  <si>
    <t>6.105</t>
  </si>
  <si>
    <t>6.106</t>
  </si>
  <si>
    <t>6.107</t>
  </si>
  <si>
    <t>6.108</t>
  </si>
  <si>
    <t>6.109</t>
  </si>
  <si>
    <t>6.110</t>
  </si>
  <si>
    <t>6.111</t>
  </si>
  <si>
    <t>6.112</t>
  </si>
  <si>
    <t>6.113</t>
  </si>
  <si>
    <t>6.114</t>
  </si>
  <si>
    <t>6.115</t>
  </si>
  <si>
    <t>5.6.1</t>
  </si>
  <si>
    <t>5.6.2</t>
  </si>
  <si>
    <t>Расценка применяется, при необходимости, дополнительно к расценке 5.1</t>
  </si>
  <si>
    <t>Расценка применяется при докладке канала к существующей трассе кабельной канализации.</t>
  </si>
  <si>
    <t>Установка/замена ОРК на существующей ДРС</t>
  </si>
  <si>
    <t>8.1.2</t>
  </si>
  <si>
    <t>8.1.3</t>
  </si>
  <si>
    <t>8.1.4</t>
  </si>
  <si>
    <t>8.1.5</t>
  </si>
  <si>
    <t>8.1.6</t>
  </si>
  <si>
    <t>8.1.7</t>
  </si>
  <si>
    <t>8.1.8</t>
  </si>
  <si>
    <t>8.1.9</t>
  </si>
  <si>
    <t>8.2.1</t>
  </si>
  <si>
    <t>8.2.2</t>
  </si>
  <si>
    <t>8.2.3</t>
  </si>
  <si>
    <t>8.2.4</t>
  </si>
  <si>
    <t>8.2.5</t>
  </si>
  <si>
    <t>8.2.6</t>
  </si>
  <si>
    <t>8.2.7</t>
  </si>
  <si>
    <t>8.2.8</t>
  </si>
  <si>
    <t>8.2.9</t>
  </si>
  <si>
    <t>8.3.1</t>
  </si>
  <si>
    <t>8.3.2</t>
  </si>
  <si>
    <t>8.3.3</t>
  </si>
  <si>
    <t>8.3.4</t>
  </si>
  <si>
    <t>Проведение инструментального контроля уровня электромагнитного поля радиочастотных излучений и Разработка приложения к санитарно-эпидемиологическому заключению ( форма Р1)</t>
  </si>
  <si>
    <t>Применяется при наличии соответствующих требований в ТУ владельцев инфраструктуры/эксплуатирующей организации</t>
  </si>
  <si>
    <t>Альбом марки РРС (Радиорелейная связь) разрабатывается в соответствии с требованиями нормативных документов Российской Федерации, действующих стандартов Заказчика, а также рекомендациями изготовителей изделий. В альбоме  отражаются технологические решения, применяемые для размещения и монтажа радиорелейного оборудования на ответной части - станции привязки. Альбом должен содержать:
- решения по размещению оборудования РРС и АФТ РРС, по соединению оборудования РРС, по заземлению и молниезащите оборудования РРС. 
В альбоме марки РРС должны быть приведены следующие документы: 
-общие данные (номер объекта, ведомость ссылочных и прилагаемых документов, ведомость рабочих чертежей марки РРС, общие указания по монтажу оборудования и АФТ РРС);
- план расположения оборудования и кабельных трасс в аппаратной;
- план расположения АФТ и аппаратной, схему соединений оборудования РРС, таблицу соединений, спецификации оборудования, изделий и материалов, чертеж металлоконструкций для установки антенн РРС.</t>
  </si>
  <si>
    <t>ПИР и СМР на узел на существующей Ж/Б опоре , включая:
1. Монтаж шкафа климатического (в сборе с ODF, шины заземления, DIN рейки, датчики), включая: 
 -монтаж системы электропитания (в том числе ВРУ, вводные автоматы, автоматы приоритетной/неприоритетной нагрузки), группы АКБ;
- монтаж коммутатора доступа;
- подключение к сети электроснабжения с использованием существующей точки присоединения и счетчика электроснабжения;
 - присоединение к системе заземления.
2. Монтаж точки доступа Wi-Fi  (в сборе с установкой внешнего блока и антенн),  присоединение к системе заземления; 
3. Монтаж, укладка и закрепление кабелей, оптических патч-кордов, FTP между шкафом УЦН, точкой доступа Wi-Fi и шкафом энергетиков, включая стоимость расходных материалов (не входящих в комплект поставки заказчика).
ПНР на узел, включая:
1. Включение, настройка ТД WI FI, проведение ПСИ.
2. Включение, настройка оборудования ПД, проведение ПСИ УУЦН.</t>
  </si>
  <si>
    <t xml:space="preserve">Пусконаладочные работы по электромонтажным  работам,
 замер полного сопротивления цепи "фаза-нуль", проверка наличия цепи между заземлителями и заземленными элементами, прогрузка автомата, составление протокола, внесение в исполнительную документацию. (Линия, цепь) </t>
  </si>
  <si>
    <t xml:space="preserve">Не применяется совместно с Работами пунктов с 6.1÷6.3; 6.5÷ 6.8; 6.21÷6.24 </t>
  </si>
  <si>
    <t xml:space="preserve">Не применяется совместно с Работами пунктов с  6.5÷ 6.15; 6.21÷ 6.24 </t>
  </si>
  <si>
    <t>4.1 Предпроектные/проектно-изыскательские работы</t>
  </si>
  <si>
    <t>5.27</t>
  </si>
  <si>
    <t>При организации дополнительных услуг "Умный дом", возможно применение совместно с работами пункта 1.2</t>
  </si>
  <si>
    <t>Восстановление асфальтобетонного покрытия тротуаров</t>
  </si>
  <si>
    <t>Восстановление покрытия из брусчатки</t>
  </si>
  <si>
    <t>Укрепление существующих опор разных видов</t>
  </si>
  <si>
    <t>Монтаж блока коммутации теплосчетчиков</t>
  </si>
  <si>
    <t>ПИР, СМР, включая стоимость материалов (трубы, гофры, короба), крепежа, сопутствующих работ, пробивки отверстий в стенах и перекрытиях, герметизация стоп-огонь. Оформление исполнительной документации.</t>
  </si>
  <si>
    <t xml:space="preserve">ПИР, СМР, включая стоимость материалов (трубы, гофры, короба), крепежа, сопутствующих работ, пробивки отверстий в стенах и перекрытиях, герметизация стоп-огонь. Оформление исполнительной документации.
</t>
  </si>
  <si>
    <t>ПИР, СМР, прочие, не ограничиваясь перечисленным: прокладка металлорукава, с устройством, при необходимости, отверстий в стенах с заделкой (с установкой гильз) герметизация стоп-огонь, с учетом стоимости металлорукава, прочих материалов.  Оформление исполнительной документации.</t>
  </si>
  <si>
    <t>Расценка применяется при выполнении комплекса работ по СКС на одном объекте</t>
  </si>
  <si>
    <t>Расценка применяется при выполнении комплекса работ по СКС на одном объекте
Применяется совместно с расценкой 8.5.6.</t>
  </si>
  <si>
    <t xml:space="preserve">Расценка применяется при выполнении комплекса работ по СКС на одном объекте
* При единовременном монтаже применять  понижающий коэффициент (К):  
- 2-я ед. оборудования  * К 0,7;
- 3-я ед. оборудования * К 0,6;
- 4-я ед. оборудования * К 0,5;
- 5-я ед. оборудования * К 0,4;
-6-я ед. оборудования - ∞ * К 0,3. </t>
  </si>
  <si>
    <t>5.28</t>
  </si>
  <si>
    <t>5.29</t>
  </si>
  <si>
    <t>5.30</t>
  </si>
  <si>
    <t>Монтаж автоматизированного рабочего места оператора видеонаблюдения (АРМ)</t>
  </si>
  <si>
    <t>6.89</t>
  </si>
  <si>
    <t>Для определения количества построенных портов FTTB считается кол-во портов
коммутаторов доступа, подключенных медным патч-кордами в ТШ к
многопарному кабелю UTP построенной ДРС.</t>
  </si>
  <si>
    <t>Строительство сетей абонентского доступа по технологии FTTb (ДРС FTTb FE -2 пары на 1 ДХ) в домах малоэтажной застройки</t>
  </si>
  <si>
    <t xml:space="preserve">
Не применяется совместно с Работами пунктов 6.3; 6.5÷ 6.7; 6.21÷6.24</t>
  </si>
  <si>
    <t xml:space="preserve">Не применяется совместно с Работами пунктов с  6.5÷6.7; 6.9÷6.15; 6.21÷ 6.24 </t>
  </si>
  <si>
    <t>Не применимо совместно с расценками пп. 4.2÷4.4; 6.56÷6.58</t>
  </si>
  <si>
    <t>Не применимо совместно с расценками пп. 4.6.÷ 4.8.</t>
  </si>
  <si>
    <t>Не применимо совместно с расценками пп. 4.6.÷4.8.</t>
  </si>
  <si>
    <t>Расценка применяется при выполнении комплекса работ по СКС на одном объекте.
Не применимо совместно с расценками 8.3.1.</t>
  </si>
  <si>
    <t>8.7.10</t>
  </si>
  <si>
    <t>5.31</t>
  </si>
  <si>
    <t>ПИР, СМР,  включая затраты на материалы, демонтаж/ вывоз существующего асфальтобетонного покрытия, получение необходимых согласований и разрешений на производство работ</t>
  </si>
  <si>
    <t>ПИР, СМР,  включая затраты на материалы, демонтаж/ вывоз существующего асфальтобетонного покрытия и бордюрного камня, получение необходимых согласований и разрешений на производство работ</t>
  </si>
  <si>
    <t xml:space="preserve">Восстановление газонного покрытия </t>
  </si>
  <si>
    <t>Применяется дополнительно к расценке 5.1; 5.3-5.4.</t>
  </si>
  <si>
    <t xml:space="preserve"> ПИР, СМР, включая стоимость материалов, установки колодцев ККС под требуемое количество каналов (с учетом стоимости колодцев, оснастки, труб и комплектующих).</t>
  </si>
  <si>
    <t>ПИР, СМР весь комплекс работ, включая стоимость строительных материалов и других необходимых расходных материалов и комплектующих, транспортные издержки; Разбивка и отрывка входного и приёмного котлованов; Устройство переходов подземных методом ГНБ. Оформление исполнительной документации.</t>
  </si>
  <si>
    <t>СМР, включая и не ограничиваясь перечисленным: установка, монтаж розетки, выключателя на стену, независимо от материалов поверхности, стоимость основных (каркас, суппорт-рамка, розетка) и  крепежных материалов.</t>
  </si>
  <si>
    <t>СМР, включая и не ограничиваясь перечисленным: монтаж информационной розетки на стену, независимо от материалов поверхности, стоимость основных  (каркас, суппорт-рамка, модуль розетки) и крепежных материалов.</t>
  </si>
  <si>
    <t>Коэф.</t>
  </si>
  <si>
    <t>ПИР, СМР весь комплекс работ, включая стоимость строительных материалов и других необходимых расходных материалов и комплектующих, транспортные издержки; Разбивка и отрывка входного и приёмного котлованов; Устройство переходов подземных методом ГНБ, рекультивации земель.  Оформление разрешительных документов и исполнительной документации (в том числе топографо-геодезические работы, с нанесением на городской планшет исполнительной сьёмки, землеустроительные работы).</t>
  </si>
  <si>
    <t>5.32</t>
  </si>
  <si>
    <t>Применяется  только на работы раздела №8 "Строительство структурированных кабельных сетей (СКС)", которые выполнены в соответствующих условиях.</t>
  </si>
  <si>
    <t>Работы по демонтажу кабеля связи , в том числе и не ограничиваясь перечисленным: демонтаж кабеля связи, подготовка данного кабеля к сдаче на склад филиала (увязка однородного (одной марки) кабеля связи длинами не более чем по 2 м. в 1 пучок с маркировкой данного пучка в соответствии с маркой демонтированного однородного кабеля связи (применимо для медножильных кабелей, общий вес и количество пучков определяет Исполнитель), или намоткой на барабан (с учетом стоимости барабана), погрузкой, перевозкой, разгрузкой и взвешиванием демонтированного кабеля связи на складе филиала, его приемом-передачей на склад филиала. Оформление исполнительной документации.</t>
  </si>
  <si>
    <t>Работы по демонтажу кабеля связи , в том числе и не ограничиваясь перечисленным: демонтаж кабеля связи, подготовка данного кабеля к сдаче на склад филиала (увязка однородного (одной марки) кабеля связи строительными длинами  в 1 бухту/барабан (с учетом стоимости барабана) с маркировкой  в соответствии с маркой длиной демонтированного однородного кабеля связи, погрузкой, перевозкой, разгрузкой  демонтированного кабеля связи на складе филиала, его приемом-передачей на склад филиала. Оформление исполнительной документации.</t>
  </si>
  <si>
    <t>Комплекс работ по установке 1-го шлагбаума</t>
  </si>
  <si>
    <t>Строительно-монтажные работы</t>
  </si>
  <si>
    <t>1 шлагбаум</t>
  </si>
  <si>
    <t>ПИР: Разработка проектной документации по установке шлагбаума, получение необходимых согласований, разработка исполнительной документации.</t>
  </si>
  <si>
    <t>Проектно-изыскательские работы по установке шлагбаума</t>
  </si>
  <si>
    <t>Выполнение работ по программированию ключа/ метки NFS</t>
  </si>
  <si>
    <t>7.16.1</t>
  </si>
  <si>
    <t>7.16.2</t>
  </si>
  <si>
    <t>7.18.1</t>
  </si>
  <si>
    <t>7.18.2</t>
  </si>
  <si>
    <t>7.18.3</t>
  </si>
  <si>
    <t>7.18.4</t>
  </si>
  <si>
    <t>7.21.1</t>
  </si>
  <si>
    <t>7.21.2</t>
  </si>
  <si>
    <t>7.21.3</t>
  </si>
  <si>
    <t>5.21.1</t>
  </si>
  <si>
    <t>5.21.2</t>
  </si>
  <si>
    <t>5.21.3</t>
  </si>
  <si>
    <t>5.33</t>
  </si>
  <si>
    <t>6.8.1</t>
  </si>
  <si>
    <t>6.8.2</t>
  </si>
  <si>
    <t>6.8.3</t>
  </si>
  <si>
    <t>6.8.4</t>
  </si>
  <si>
    <t>6.8.5</t>
  </si>
  <si>
    <t>6.81</t>
  </si>
  <si>
    <t>6.82</t>
  </si>
  <si>
    <t xml:space="preserve">СМР, прокладка кабеля, включая работы по трассировке кабеля  (размотка , маркировка , замер длины , растяжка , нарезка , жгутирование), с учетом стоимости кабеля и крепежных материалов, другие сопутствующие работы. </t>
  </si>
  <si>
    <t xml:space="preserve">СМР, включая прокладку, монтаж кабеля, работы по трассировке кабеля (размотка, маркировка , замер длины , растяжка , нарезка , жгутирование), с учетом стоимости кабеля и крепежных материалов, другие сопутствующие работы. </t>
  </si>
  <si>
    <t>СМР, включая прокладку, монтаж силового кабеля, провода заземления, работы по трассировке кабеля (размотка, маркировка , замер длины , растяжка , нарезка , жгутирование), с учетом стоимости кабеля и крепежных материалов, проверку состояния изоляции кабеля до и после прокладки и другие сопутствующие работы, присоединение к зажимам жил и проводов.</t>
  </si>
  <si>
    <t>СМР, включая прокладку, монтаж, силового кабеля, провода заземления, работы по трассировке кабеля (размотка, маркировка , замер длины , растяжка , нарезка , жгутирование),  с учетом стоимости кабеля и крепежных материалов, проверку состояния изоляции кабеля до и после прокладки и другие сопутствующие работы, присоединение к зажимам жил и проводов.</t>
  </si>
  <si>
    <t>СМР , включая прокладку, монтаж силового кабеля, провода заземления (независимо от сечения и количества жил кабеля), работы по трассировке кабеля (размотка , маркировка , замер длины , растяжка , нарезка , жгутирование),  проверку состояния изоляции кабеля до и после прокладки и другие сопутствующие работы, присоединение к зажимам жил и проводов. Включает стоимость крепежных материалов, без учета стоимости кабеля.</t>
  </si>
  <si>
    <t xml:space="preserve">СМР, включая прокладку, монтаж, роботы по трассировке кабеля (размотка , маркировка , замер длины , растяжка , нарезка , жгутирование) установке разветвителей, делителей, стоимость основных и  крепежных материалов, другие сопутствующие работы. </t>
  </si>
  <si>
    <t>ПИР, СМР весь комплекс работ, включая стоимость строительных материалов и других необходимых расходных материалов и комплектующих, транспортные издержки; Разбивка и отрывка входного и приёмного котлованов; Устройство переходов подземных методом ГНБ / ГНП, рекультивации земель.  Оформление разрешительных документов и исполнительной документации (в том числе топографо-геодезические работы, с нанесением на городской планшет исполнительной сьёмки, землеустроительные работы).</t>
  </si>
  <si>
    <t>30 % от стоимости  монтажа</t>
  </si>
  <si>
    <t>Может применятся с работами других разделов</t>
  </si>
  <si>
    <t>ПИР, СМР, Прочие затраты (в том числе стоимость кабеля), включая строительство горизонтальных кабельных каналов/труб между подъездами, установку ШАН/КРТ и патч-панелей/плинтов, с учетом стоимости всех материалов, в том числе ШАН/КРТ и патч-панелей/плинтов, прочие, исполнительная документация.</t>
  </si>
  <si>
    <t>Не применимо совместно с расценками раздела 3; 4.2.÷4.4.</t>
  </si>
  <si>
    <t xml:space="preserve">
Не применяется совместно с п. 5.1; 5.8-5.14</t>
  </si>
  <si>
    <t>Не применимо совместно с расценкой 5.21; 5.22.</t>
  </si>
  <si>
    <t>Строительство сетей FTTB малоэтажная застройка (дома до 3-х этажей, включительно)</t>
  </si>
  <si>
    <t>Строительство сетей FTTB стандартная застройка (дома выше 3-х этажей)</t>
  </si>
  <si>
    <t xml:space="preserve">1 шт. </t>
  </si>
  <si>
    <t>ПИР, СМР:  Включено, не ограничиваясь перечисленным:  прокладка и монтаж провода, с учетом стоимости всех материалов, прочие, оформление разрешительных документов, исполнительной документации.</t>
  </si>
  <si>
    <t>ПИР, СМР: Включено, не ограничиваясь перечисленным: прокладка и монтаж провода, труб, коробов, кабель-каналов и др., с учетом стоимости всех материалов, прочие, оформление разрешительных документов, исполнительной документации.</t>
  </si>
  <si>
    <t>Установка регистратора (теплосчетчиков)</t>
  </si>
  <si>
    <t>Установка и подключение автоматического  выключателя трех полюсного, с номинальным током до 25 А во вводно-распределительном устройстве здания, включая стоимость основных и крепежных материалов.</t>
  </si>
  <si>
    <t>Установка и подключение автоматического  выключателя трех полюсного, с номинальным током от 25 до 63 А во вводно-распределительном устройстве здания, включая стоимость основных и крепежных материалов.</t>
  </si>
  <si>
    <t>Установка и подключение выключателя нагрузки, с номинальным током до  40 А во вводно-распределительном устройстве здания, включая стоимость основных и крепежных материалов.</t>
  </si>
  <si>
    <t>Установка и подключение выключателя нагрузки, с номинальным током более  40 А во вводно-распределительном устройстве здания, включая стоимость основных и крепежных материалов.</t>
  </si>
  <si>
    <t>СМР, сборка монтаж  бокса (щита) не укомплектованного автоматическими выключателями, независимо от материала поверхности, включая  стоимость основных и крепежных материалов.</t>
  </si>
  <si>
    <t>5.7.1</t>
  </si>
  <si>
    <t>5.7.2</t>
  </si>
  <si>
    <t>8.1.10</t>
  </si>
  <si>
    <t>8.2.10</t>
  </si>
  <si>
    <t>8.2.11</t>
  </si>
  <si>
    <t>8.2.12</t>
  </si>
  <si>
    <t>8.2.13</t>
  </si>
  <si>
    <t>8.2.14</t>
  </si>
  <si>
    <t>8.4.1</t>
  </si>
  <si>
    <t>8.4.2</t>
  </si>
  <si>
    <t>8.4.3</t>
  </si>
  <si>
    <t>8.4.8</t>
  </si>
  <si>
    <t>8.4.9</t>
  </si>
  <si>
    <t>8.4.10</t>
  </si>
  <si>
    <t>8.4.11</t>
  </si>
  <si>
    <t>8.4.12</t>
  </si>
  <si>
    <t xml:space="preserve">СМР, включая (но не ограничиваясь) , разделку и расшивка, укладка крепление  кабеля </t>
  </si>
  <si>
    <t>Расшивка и разделка медножильного кабеля на порт патч-панели/кросс-панели</t>
  </si>
  <si>
    <t>Применятся с работами  6.19; 8.1.9-8.1.10  при наличии обоснования для использования</t>
  </si>
  <si>
    <t>Установка контроллера (теплосчетчиков)</t>
  </si>
  <si>
    <t>Установка и монтаж вызывной панели домофона</t>
  </si>
  <si>
    <t>Монтаж блока питания (домофон)</t>
  </si>
  <si>
    <t>Монтаж контроллера (домофон)</t>
  </si>
  <si>
    <t>Установка блока сопряжения (домофон /видеодомофон)</t>
  </si>
  <si>
    <t xml:space="preserve">Установка и монтаж кнопки выхода/считывателя  </t>
  </si>
  <si>
    <t>Комплекс работ по монтажу систем  домофонии (ЗУ)</t>
  </si>
  <si>
    <t xml:space="preserve">1 км трассы кабеля </t>
  </si>
  <si>
    <t>Основная расценка при организации  услуг в Комплексных Новостройках</t>
  </si>
  <si>
    <t>Установка и подключение  электромагнитного замка, с кнопкой аварийного выхода.</t>
  </si>
  <si>
    <t>6.91</t>
  </si>
  <si>
    <t xml:space="preserve">1 м  </t>
  </si>
  <si>
    <t xml:space="preserve">1 м </t>
  </si>
  <si>
    <t>ПИР, СМР, Прочие затраты, вертикальных (стояки)  с учетом стоимости труб крепежа, установки проходных коробок, сопутствующих СМР, в том числе пробивка/сверление отверстий, герметизация (включая стоимость материалов), прочие, исполнительная документация.</t>
  </si>
  <si>
    <t>СМР, ПИР, прочие затраты, не ограничиваясь перечисленным: монтаж стальной трубы для трубостойки диаметром 60 мм (включая стоимость металлической трубы и расходных материалов), в том числе пробивка/сверление отверстий, герметизация.</t>
  </si>
  <si>
    <t>Демонтаж оборудования/патч панели/кросс-панели/кабельного органайзера/полки/оптического кроссового шкафа в телекоммуникационном шкафу/стойке</t>
  </si>
  <si>
    <t xml:space="preserve"> Монтаж оборудования, патч/кросс панелей</t>
  </si>
  <si>
    <t xml:space="preserve">
Не применяется совместно с Работами раздела с 1÷2, по установке оборудования входящего в состав стоимости порта.</t>
  </si>
  <si>
    <t xml:space="preserve">ПИР, СМР, Работы по монтажу муфты прямой/разветлительной на медном кабеле, в том числе и не ограничиваясь перечисленным: соединение и герметизация по технологиям 3М или ТайкоРайхем,  измерения и прозвонка кабеля во время монтажа, комплекс всех измерений смонтированных пар, включая стоимость основных и вспомогательных материалов. </t>
  </si>
  <si>
    <t xml:space="preserve"> СМР, с учетом сопутствующих работ и стоимости материалов.
Внесение данных в исполнительную документацию (в кабельный журнал).</t>
  </si>
  <si>
    <t>для деревянных опор, пропитанных антисептиком</t>
  </si>
  <si>
    <t>Отчёт о выполнении предпроектных работ  (включая ситуационный план, схему прокладки кабельной линии/ трассы РРЛ перечень объемов работ), определение технической возможности и стоимости прокладки кабельной линии/ трасы РРЛ. Определение перечня необходимых согласующих организаций.</t>
  </si>
  <si>
    <t xml:space="preserve">Трасса </t>
  </si>
  <si>
    <t>6.77.1</t>
  </si>
  <si>
    <t>6.77.2</t>
  </si>
  <si>
    <t>монтаж светофора (шлагбаум)</t>
  </si>
  <si>
    <t>Монтаж обогревателя с термостатом (шлагбаум)</t>
  </si>
  <si>
    <t>Монтаж индукционной петли</t>
  </si>
  <si>
    <t>6.77.3</t>
  </si>
  <si>
    <t>6.77.4</t>
  </si>
  <si>
    <t>6.77.5</t>
  </si>
  <si>
    <t>Монтаж/установка полноростового турникета уличного исполнения</t>
  </si>
  <si>
    <t>Подключение инженерных систем СКУД к контроллеру, программирование, настройка</t>
  </si>
  <si>
    <t>6.116</t>
  </si>
  <si>
    <t>6.117</t>
  </si>
  <si>
    <t>6.118</t>
  </si>
  <si>
    <t>Допускается применение расценки для объектов Новостройки, с потребностью от Коммерческого блока в  ДРС FTTb GE-4 пары на 1 ДХ под 100% проникновение</t>
  </si>
  <si>
    <t xml:space="preserve">Установка и монтаж турникета внутри помещения (полуростовый, трипод, роторный) </t>
  </si>
  <si>
    <t xml:space="preserve">комплекс </t>
  </si>
  <si>
    <t xml:space="preserve">Установка и монтаж полноростового турникета внутри помещения </t>
  </si>
  <si>
    <t xml:space="preserve">Установка и монтаж турникета уличного исполнения (полуростовый, трипод, роторный) </t>
  </si>
  <si>
    <t xml:space="preserve">Комплекс               (система) </t>
  </si>
  <si>
    <t>1 светофор</t>
  </si>
  <si>
    <t>Строительство слаботочного кабельного стояка в подъезде с установкой проходных коробок</t>
  </si>
  <si>
    <t>Протяженность по работам, указанным в пп. 4.2-4.3 учитывается  по оптической длине трассы;</t>
  </si>
  <si>
    <t>Расценки раздела 7 с ед. измерения - "за один комплект" содержат работы целиком за пролет;</t>
  </si>
  <si>
    <t>Расценка раздела 8.5.4.при использовании на одном объекте, применяется с понижающим коэффициентом (информация в примечании);</t>
  </si>
  <si>
    <t>Демонтаж антенны РРС, оборудования БШПД</t>
  </si>
  <si>
    <t>ПИР, СМР, прочие затраты, не ограничиваясь перечисленным: получение всех разрешений и согласований, в т.ч., но не ограничиваясь: ордер ОАТИ на производство работ, проект реорганизации дорожного движения на время строительства. Вскрытие, восстановление покрытия (асфальт, брусчатка, газон, проч.), подъём горловины колодца, монтаж опорного кольца.</t>
  </si>
  <si>
    <t>Величина стоимости кабеля/основных материалов с учётом ТЗР носит справочный характер и используется для исключения из Удельной стоимости за единицу в случае принятия решения об использовании давальческих материалов МРФ/РФ.</t>
  </si>
  <si>
    <t>Строительство сетей ШПД  по технологии GPON в городской черте</t>
  </si>
  <si>
    <t>Раздел 4. Прокладка и монтаж кабельных линий связи (в т.ч. магистральных), доумощнение ранее построенных сетей связи</t>
  </si>
  <si>
    <t>Раздел 5. Инфраструктура (Строительство ЛКСС)</t>
  </si>
  <si>
    <t xml:space="preserve">  Строительство распределительных участков ВОЛС  (Расценки используются для строительства распределительных участков ВОЛС по технологии GPON в коттеджных посёлках)</t>
  </si>
  <si>
    <t>Раздел 8. Строительство структурированных кабельных сетей (СКС) (Комплекс работ на одном объекте)</t>
  </si>
  <si>
    <t xml:space="preserve">Установка и монтаж сплиттера 2-го каскада (УСМ) </t>
  </si>
  <si>
    <t>Стоимость сплиттера 2-го каскада (УСМ) не входит в расценку  строительства объектов в сегменте Стандартная застройка,  Новостройка, Малоэтажная застройка, но должна быть учтена в ТЭО проектов.</t>
  </si>
  <si>
    <t>ПИР,  СМР, прочие затраты, не ограничиваясь перечисленным: включая стоимость основных материалов, доставку, подготовку заготовки,  земельные работы по раскопке и засыпке ямы с послойным трамбованием грунта, бетонирование, установку дополнительной ригели, замена ростверки. Оформление разрешительных документов и исполнительной документации.  Выполнение топографо-геодезических работ при предъявлении требования от Заказчика.</t>
  </si>
  <si>
    <t>Замена и монтаж вызывной панели домофона, с переустройством  посадочного места</t>
  </si>
  <si>
    <t xml:space="preserve">для объектов БШПД </t>
  </si>
  <si>
    <t>6.62.1</t>
  </si>
  <si>
    <t>6.62.2</t>
  </si>
  <si>
    <t>6.62.3</t>
  </si>
  <si>
    <t>Установка  подключение абонентских устройств в квартире</t>
  </si>
  <si>
    <t xml:space="preserve">ПИР, СМР, Работы по монтажу муфты на волоконно-оптическом кабеле(ях) в независимости от типа кабеля(ей) и муфт, в том числе и не ограничиваясь перечисленным:  подготовительные работы, разделка-зачистка защитных оболочек кабеля и волокон, крепление силовых элементов, термоусадка/фиксация, герметизация, сварка волокон, термоусадка КДЗС, укладка  в кассету(ы), сборка герметизация муфты, закрепление на определенном месте, включая стоимость основных и расходных материалов, аксессуаров, транспортные и все прочие расходы. Паспортизация (не ограничиваясь перечисленным: в электронном виде, Excel-формат для рефлектограмм, протоколы, схемы разварки). </t>
  </si>
  <si>
    <t>Основная расценка при организации абонентской линии от этажного разветвителя КТВ  в ДХ абонента!</t>
  </si>
  <si>
    <t xml:space="preserve">Монтаж муфты на волоконно-оптическом кабеле </t>
  </si>
  <si>
    <t>4.10.1</t>
  </si>
  <si>
    <t>4.10.2</t>
  </si>
  <si>
    <t>4.10.3</t>
  </si>
  <si>
    <t>4.10.4</t>
  </si>
  <si>
    <t>4.10.5</t>
  </si>
  <si>
    <t>4.10.6</t>
  </si>
  <si>
    <t>4.10.7</t>
  </si>
  <si>
    <t>4.10.8</t>
  </si>
  <si>
    <t>4.10.9</t>
  </si>
  <si>
    <t>4.10.10</t>
  </si>
  <si>
    <t>4.12</t>
  </si>
  <si>
    <t>4.14</t>
  </si>
  <si>
    <t>4.14.1</t>
  </si>
  <si>
    <t>4.14.2</t>
  </si>
  <si>
    <t>4.14.3</t>
  </si>
  <si>
    <t>4.14.3.1</t>
  </si>
  <si>
    <t>4.14.3.2</t>
  </si>
  <si>
    <t>4.14.3.3</t>
  </si>
  <si>
    <t>4.14.4</t>
  </si>
  <si>
    <t>4.14.4.1</t>
  </si>
  <si>
    <t>4.14.4.2</t>
  </si>
  <si>
    <t>4.14.4.3</t>
  </si>
  <si>
    <t>4.14.5</t>
  </si>
  <si>
    <t>4.14.5.1</t>
  </si>
  <si>
    <t>4.14.5.2</t>
  </si>
  <si>
    <t>4.14.5.3</t>
  </si>
  <si>
    <t>Применяется  на существующих кабельных линиях, при переключении, восстановлении.  Применимо совместно с расценками пп. 4.7.÷ 4.9, при монтаже более 1  муфты на 0,5 км. строящейся трассы.</t>
  </si>
  <si>
    <t>Перемонтаж/ремонт существующей муфты на волоконно- оптическом кабеле связи</t>
  </si>
  <si>
    <t>Не применимо совместно с Работами раздела/пунктов 1; 4.7 ÷ 4.9; 6.1÷6.3 включительно</t>
  </si>
  <si>
    <t>8.8.1</t>
  </si>
  <si>
    <t>8.8.2</t>
  </si>
  <si>
    <t>8.8.3</t>
  </si>
  <si>
    <t>8.8.4</t>
  </si>
  <si>
    <t>8.8.5</t>
  </si>
  <si>
    <t>8.8.6</t>
  </si>
  <si>
    <t>8.8.7</t>
  </si>
  <si>
    <t>8.8.8</t>
  </si>
  <si>
    <t xml:space="preserve">СМР: установка/подключение, настройка, телефонного аппарата. С учетом стоимости работ, стоимости крепежных  материалов и патч-корда. </t>
  </si>
  <si>
    <t>Настройка и тестирование АРМ  учитываются пунктом 8.8.5</t>
  </si>
  <si>
    <t>Не применяется совместно с пунктом 8.8.1</t>
  </si>
  <si>
    <t>для стальных опор</t>
  </si>
  <si>
    <t>для композитных опор</t>
  </si>
  <si>
    <t>5.21.4</t>
  </si>
  <si>
    <t>Применяется при разовых работах.
Не применяется для сверления стен. Не применяется с Работами 6.4-6.5.</t>
  </si>
  <si>
    <t>Применяется при демонтаже оборудования. Не применяется с Работами 6.61.2.</t>
  </si>
  <si>
    <t>Раздел 1. Новое строительство сетей ШПД по технологии FTTb</t>
  </si>
  <si>
    <t xml:space="preserve">Раздел 2. Новое строительство сетей ШПД  по технологии GPON </t>
  </si>
  <si>
    <t>Раздел 3. Новое строительство сетей ШПД по технологии  FTTН  (GPON) в коттеджных посёлках</t>
  </si>
  <si>
    <t xml:space="preserve">Восстановление поврежденного канала кабельной канализации </t>
  </si>
  <si>
    <t>Расценка применяется при разработке грунта и полноценном восстановлении каналов кабельной канализации</t>
  </si>
  <si>
    <t>6.60.1</t>
  </si>
  <si>
    <t>6.60.2</t>
  </si>
  <si>
    <t>6.60.3</t>
  </si>
  <si>
    <t>6.60.4</t>
  </si>
  <si>
    <t>6.60.5</t>
  </si>
  <si>
    <t>6.60.6</t>
  </si>
  <si>
    <t>6.60.7</t>
  </si>
  <si>
    <t>6.60.8</t>
  </si>
  <si>
    <t>6.60.9</t>
  </si>
  <si>
    <t>6.61.</t>
  </si>
  <si>
    <t xml:space="preserve">Устройство кабельного вывода на стену из кабельной трассы </t>
  </si>
  <si>
    <t>1шт.</t>
  </si>
  <si>
    <t xml:space="preserve">ПИР, СМР, не ограничиваясь перечисленным: разработка грунта около фундамента, разборка/восстановление отмостки, прокладка трубы в соответствии с проектными данными. Оформление  разрешительных документов и исполнительной документации.   </t>
  </si>
  <si>
    <t>5.34</t>
  </si>
  <si>
    <t>Не применимо совместно с расценкой 5.24; 5.24; 5.29-5.33.</t>
  </si>
  <si>
    <t>Применяется дополнительно к расценкам5.29-5.33; 6.25-6.26; 6.77.1-6.77.3; 6.78-6.81; 6.104 и только в случае прокладки силового кабеля более 20/50 м</t>
  </si>
  <si>
    <t xml:space="preserve">Применяется дополнительно к расценкам № 5.30; 5.33;
в случае превышения 50 м. прокладки кабеля в грунте. 
Применяется  отдельно  если требуется только работы по монтажу кабеля в грунте
</t>
  </si>
  <si>
    <t>Применяется дополнительно к расценкам5.30-5.33; 6.25-6.26; 6.77.1-6.77.3; 6.78-6.81; 6.104 и только в случае прокладки силового кабеля более 20/50 м</t>
  </si>
  <si>
    <t>Обновление программного обеспечения коммутатора/голосового шлюза, выполнение ПНР</t>
  </si>
  <si>
    <t>для деревянных / стальных/ композитных опор</t>
  </si>
  <si>
    <t>5.28.1</t>
  </si>
  <si>
    <t>5.28.2</t>
  </si>
  <si>
    <t>ПИР, СМР, включая стоимость материалов ( полиэтиленовые трубы даметром не менее 63 мм, комплектующие), организацию вывода из кабельного колодца, герметизация, восстановление асфальтобетонных покрытий проезжей части, тротуаров и работ по благоустройству, оформление разрешительных документов и исполнительной документации (в том числе с нанесением на городской планшет исполнительной сьемки). Заказ и оплата топосъемок.</t>
  </si>
  <si>
    <t>ПИР, СМР, включая затраты на устройство покрытий и материалы для устройства подстилающих и выравнивающих слоев, для укладки демонтированной брусчатки.</t>
  </si>
  <si>
    <t>Протяженность по работам, указанным в пп. 4.2-4.3; 4.7-4.9  учитывается  по общей протяженности кабельной линии в Заказе;</t>
  </si>
  <si>
    <t>ПИР, СМР: Установка модуля сопряжения  LORA/NB-IoT</t>
  </si>
  <si>
    <t>Монтаж модуля сопряжения LORA/NB-IoT</t>
  </si>
  <si>
    <t xml:space="preserve">для ж/б опор </t>
  </si>
  <si>
    <t>ПИР, СМР, включая и не ограничиваясь: стоимость опоры, пристав, подпор, укосин, вспомогательных материалов, доставки и развозки по трассе монтажа; стоимость демонтажа старой опоры (при необходимости), работа бурильно-крановой машины по установке опор длиной до 11,5 метров, работ по переподвесу существующих кабельных линий на новую, транспортировка демонтированных опор на свалку или на склад  Заказчика.  Оформление разрешительных документов и исполнительной документации. Выполнение топографо-геодезических работ при предъявлении требования от Заказчика.</t>
  </si>
  <si>
    <t>6.61.1</t>
  </si>
  <si>
    <t>СМР: Программирование ключа/метки NFS</t>
  </si>
  <si>
    <t>Выполнение работ по программированию ключа</t>
  </si>
  <si>
    <r>
      <t xml:space="preserve">Примечание:
</t>
    </r>
    <r>
      <rPr>
        <b/>
        <sz val="12"/>
        <color theme="1"/>
        <rFont val="Consolas"/>
        <family val="3"/>
        <charset val="204"/>
      </rPr>
      <t>В каждый из указанных выше видов Работ в т.ч. входят:
1. Затраты на получение/оформление согласований, разрешений на производство работ и технических условий у сторонних организаций (физ/юр лиц), необходимых для проведения работ по прокладке кабеля и строительству/реконструкции/дооборудованию кабельной инфраструктуры: кабельной канализации, опор, участков ГНБ/ГНП;
2. Затраты на проведение проектно-изыскательских работ и подготовку рабочей документации;
3. затраты на подготовку и согласование у сторонних организаций комплекта исполнительной документации в соответствии по построенным ЛКС и объектам строительства;
4. Протяженность по работам, указанным в пп.5.5-5.7 учитывается  по профилю ГНБ/ГНП перехода.</t>
    </r>
  </si>
  <si>
    <r>
      <rPr>
        <b/>
        <sz val="14"/>
        <color rgb="FFFF0000"/>
        <rFont val="Consolas"/>
        <family val="3"/>
        <charset val="204"/>
      </rPr>
      <t>Примечание:</t>
    </r>
    <r>
      <rPr>
        <sz val="12"/>
        <color theme="1"/>
        <rFont val="Consolas"/>
        <family val="3"/>
        <charset val="204"/>
      </rPr>
      <t xml:space="preserve">
</t>
    </r>
    <r>
      <rPr>
        <b/>
        <sz val="12"/>
        <color theme="1"/>
        <rFont val="Consolas"/>
        <family val="3"/>
        <charset val="204"/>
      </rPr>
      <t>Настоящие удельные расценки предназначены для формирования бюджета или начальной, максимальной цены (НМЦ) конкурса. 
Настоящие удельные расценки являются максимальными и могут быть изменены в сторону уменьшения на стадии формирования НМЦ или в результате проведения конкурентных процедур.
Величина стоимости кабеля с учётом ТЗР носит справочный характер и используется для исключения из Удельной стоимости за единицу в случае принятия решения об использовании давальческого кабеля РФ/МРФ.</t>
    </r>
  </si>
  <si>
    <r>
      <t xml:space="preserve">Строительство сетей абонентского доступа по технологии FTTb в Cстандартной застройке и в Новостройках  (дома </t>
    </r>
    <r>
      <rPr>
        <b/>
        <sz val="11"/>
        <color rgb="FFFF0000"/>
        <rFont val="Consolas"/>
        <family val="3"/>
        <charset val="204"/>
      </rPr>
      <t>выше 3-х этажей</t>
    </r>
    <r>
      <rPr>
        <b/>
        <sz val="11"/>
        <color rgb="FF000000"/>
        <rFont val="Consolas"/>
        <family val="3"/>
        <charset val="204"/>
      </rPr>
      <t>):</t>
    </r>
  </si>
  <si>
    <r>
      <t xml:space="preserve">ПИР, СМР  включая, но не ограничиваясь: установка телекоммуникационного шкафа узла доступа с подключением его к электропитанию, установка коммутатора доступа, установка коммутатора агрегации/концентрации, прокладка ДРС, патч-кордов, перекидных ВОК; Прочие затраты, включая: стоимость кабеля и материалов, вспомогательное оборудование, оформление разрешительных документов, исполнительной документации.
</t>
    </r>
    <r>
      <rPr>
        <b/>
        <sz val="10"/>
        <color rgb="FF0000FF"/>
        <rFont val="Consolas"/>
        <family val="3"/>
        <charset val="204"/>
      </rPr>
      <t>Не включает:</t>
    </r>
    <r>
      <rPr>
        <sz val="10"/>
        <color rgb="FF0000FF"/>
        <rFont val="Consolas"/>
        <family val="3"/>
        <charset val="204"/>
      </rPr>
      <t xml:space="preserve"> стоимость коммутатора агрегации/концентрации,  коммутатор доступа и укомплектованного телекоммуникационного шкафа узла доступа; стоимость проектирования и строительства стояков, магистральных участков ВОЛС и устройство вводов.</t>
    </r>
  </si>
  <si>
    <r>
      <t xml:space="preserve">для Домохозяйств, охваченных по технологии FTTB с проникновением </t>
    </r>
    <r>
      <rPr>
        <b/>
        <sz val="10"/>
        <color rgb="FFFF0000"/>
        <rFont val="Consolas"/>
        <family val="3"/>
        <charset val="204"/>
      </rPr>
      <t>выше 80 %</t>
    </r>
    <r>
      <rPr>
        <sz val="10"/>
        <color rgb="FF000000"/>
        <rFont val="Consolas"/>
        <family val="3"/>
        <charset val="204"/>
      </rPr>
      <t xml:space="preserve">,  с применением минимального шага проникновения </t>
    </r>
    <r>
      <rPr>
        <b/>
        <sz val="10"/>
        <color rgb="FFFF0000"/>
        <rFont val="Consolas"/>
        <family val="3"/>
        <charset val="204"/>
      </rPr>
      <t>5%</t>
    </r>
  </si>
  <si>
    <r>
      <t xml:space="preserve">для Домохозяйств, охваченных по технологии FTTB с проникновением </t>
    </r>
    <r>
      <rPr>
        <b/>
        <sz val="10"/>
        <color rgb="FFFF0000"/>
        <rFont val="Consolas"/>
        <family val="3"/>
        <charset val="204"/>
      </rPr>
      <t>от 50 % до 80%</t>
    </r>
    <r>
      <rPr>
        <sz val="10"/>
        <color rgb="FF000000"/>
        <rFont val="Consolas"/>
        <family val="3"/>
        <charset val="204"/>
      </rPr>
      <t xml:space="preserve"> включительно, с применением минимального шага проникновения </t>
    </r>
    <r>
      <rPr>
        <b/>
        <sz val="10"/>
        <color rgb="FFFF0000"/>
        <rFont val="Consolas"/>
        <family val="3"/>
        <charset val="204"/>
      </rPr>
      <t>5%</t>
    </r>
  </si>
  <si>
    <r>
      <t xml:space="preserve">для Домохозяйств, охваченных по технологии FTTB с проникновением </t>
    </r>
    <r>
      <rPr>
        <b/>
        <sz val="10"/>
        <color rgb="FFFF0000"/>
        <rFont val="Consolas"/>
        <family val="3"/>
        <charset val="204"/>
      </rPr>
      <t>до 50%</t>
    </r>
    <r>
      <rPr>
        <sz val="10"/>
        <color rgb="FF000000"/>
        <rFont val="Consolas"/>
        <family val="3"/>
        <charset val="204"/>
      </rPr>
      <t xml:space="preserve"> включительно,  с применением минимального шага проникновения </t>
    </r>
    <r>
      <rPr>
        <b/>
        <sz val="10"/>
        <color rgb="FFFF0000"/>
        <rFont val="Consolas"/>
        <family val="3"/>
        <charset val="204"/>
      </rPr>
      <t>5%</t>
    </r>
  </si>
  <si>
    <r>
      <t xml:space="preserve">для Домохозяйств, охваченных по технологии FTTB с проникновением </t>
    </r>
    <r>
      <rPr>
        <b/>
        <sz val="10"/>
        <color rgb="FFFF0000"/>
        <rFont val="Consolas"/>
        <family val="3"/>
        <charset val="204"/>
      </rPr>
      <t>100 %</t>
    </r>
  </si>
  <si>
    <r>
      <t>ПИР, СМР  включая, но не ограничиваясь: установка телекоммуникационного шкафа узла доступа с подключением его к электропитанию, установка коммутатора доступа, установка коммутатора агрегации/концентрации, прокладка ДРС, патч-кордов, перекидных ВОК; Прочие затраты, включая: стоимость кабеля и материалов, вспомогательное оборудование, оформление разрешительных документов, исполнительной документации.</t>
    </r>
    <r>
      <rPr>
        <b/>
        <sz val="10"/>
        <color rgb="FFFF0000"/>
        <rFont val="Consolas"/>
        <family val="3"/>
        <charset val="204"/>
      </rPr>
      <t xml:space="preserve"> </t>
    </r>
    <r>
      <rPr>
        <b/>
        <sz val="10"/>
        <color rgb="FF0000FF"/>
        <rFont val="Consolas"/>
        <family val="3"/>
        <charset val="204"/>
      </rPr>
      <t>Не включает:</t>
    </r>
    <r>
      <rPr>
        <sz val="10"/>
        <color rgb="FF0000FF"/>
        <rFont val="Consolas"/>
        <family val="3"/>
        <charset val="204"/>
      </rPr>
      <t xml:space="preserve"> стоимость коммутатора агрегации/концентрации,  коммутатор доступа и укомплектованного телекоммуникационного шкафа узла доступа; стоимость проектирования и строительства стояков, магистральных участков ВОЛС и устройство вводов.</t>
    </r>
  </si>
  <si>
    <r>
      <t xml:space="preserve">Строительство в Комплексных новостройках (ДРС FTTb GE-4 пары на 1 ДХ под 100% проникновения, стояки не строятся). Проектирование и строительство магистральных участков ВОЛС производится по отдельным расценкам пунктов 4.2÷4.4, устройство ввода производиться по отдельным расценкам 5.24÷5.26. В случае необходимости строительства слаботочных стояков, проектирование и строительство производиться по отдельной расценке пункта 6.4.
</t>
    </r>
    <r>
      <rPr>
        <b/>
        <sz val="10"/>
        <color rgb="FF0000FF"/>
        <rFont val="Consolas"/>
        <family val="3"/>
        <charset val="204"/>
      </rPr>
      <t>Организация вводов в  ДХ производится по расценкам 6.38÷6.39; 6.42÷6.43.</t>
    </r>
  </si>
  <si>
    <r>
      <t xml:space="preserve">Строительство в Стандартной застройке и Новостройках (ДРС FTTb FE -2 пары на 1 ДХ от % проникновения). </t>
    </r>
    <r>
      <rPr>
        <sz val="10"/>
        <color rgb="FF0000FF"/>
        <rFont val="Consolas"/>
        <family val="3"/>
        <charset val="204"/>
      </rPr>
      <t xml:space="preserve">Проектирование и строительство магистральных участков ВОЛС производится по отдельным расценкам пунктов 4.2÷4.4, устройство кабельного вывода/ввода производиться по расценкам 5.24÷5.26.
</t>
    </r>
    <r>
      <rPr>
        <b/>
        <sz val="10"/>
        <color rgb="FF0000FF"/>
        <rFont val="Consolas"/>
        <family val="3"/>
        <charset val="204"/>
      </rPr>
      <t>Строительство слаботочных стояков не производится</t>
    </r>
    <r>
      <rPr>
        <sz val="10"/>
        <color rgb="FF0000FF"/>
        <rFont val="Consolas"/>
        <family val="3"/>
        <charset val="204"/>
      </rPr>
      <t>, при наличии подъездного слаботочного стояка (стояков) от Застройщика, заполненных суммарно менее 50 % и суммарной площадью более 100 см2. При отклонении от указанных параметров, проектирование и строительство слаботочных стояков производится по отдельной расценке пункта 6.4.</t>
    </r>
    <r>
      <rPr>
        <sz val="10"/>
        <color theme="1"/>
        <rFont val="Consolas"/>
        <family val="3"/>
        <charset val="204"/>
      </rPr>
      <t xml:space="preserve">
</t>
    </r>
  </si>
  <si>
    <r>
      <t xml:space="preserve">для Домохозяйств, охваченных по технологии FTTB с проникновением </t>
    </r>
    <r>
      <rPr>
        <b/>
        <sz val="10"/>
        <color rgb="FFFF0000"/>
        <rFont val="Consolas"/>
        <family val="3"/>
        <charset val="204"/>
      </rPr>
      <t>до 50%</t>
    </r>
    <r>
      <rPr>
        <sz val="10"/>
        <color theme="1"/>
        <rFont val="Consolas"/>
        <family val="3"/>
        <charset val="204"/>
      </rPr>
      <t xml:space="preserve"> включительно, с применением минимального шага проникновения </t>
    </r>
    <r>
      <rPr>
        <b/>
        <sz val="10"/>
        <color rgb="FFFF0000"/>
        <rFont val="Consolas"/>
        <family val="3"/>
        <charset val="204"/>
      </rPr>
      <t>5%</t>
    </r>
  </si>
  <si>
    <r>
      <t xml:space="preserve">для Домохозяйств, охваченных по технологии FTTB с проникновением </t>
    </r>
    <r>
      <rPr>
        <b/>
        <sz val="10"/>
        <color rgb="FFFF0000"/>
        <rFont val="Consolas"/>
        <family val="3"/>
        <charset val="204"/>
      </rPr>
      <t>выше 50%</t>
    </r>
    <r>
      <rPr>
        <sz val="10"/>
        <color theme="1"/>
        <rFont val="Consolas"/>
        <family val="3"/>
        <charset val="204"/>
      </rPr>
      <t xml:space="preserve">,  с применением минимального шага проникновения </t>
    </r>
    <r>
      <rPr>
        <b/>
        <sz val="10"/>
        <color rgb="FFFF0000"/>
        <rFont val="Consolas"/>
        <family val="3"/>
        <charset val="204"/>
      </rPr>
      <t>5%</t>
    </r>
  </si>
  <si>
    <r>
      <t xml:space="preserve">ПИР, СМР, Прочие затраты, включая: стоимость кабеля и материалов, вспомогательное оборудование, оформление разрешительных документов, исполнительной документации.
</t>
    </r>
    <r>
      <rPr>
        <sz val="10"/>
        <color rgb="FF0000FF"/>
        <rFont val="Consolas"/>
        <family val="3"/>
        <charset val="204"/>
      </rPr>
      <t xml:space="preserve">Не включает: стоимость коммутатора агрегации/концентрации,  коммутатор доступа и укомплектованного телекоммуникационного шкафа узла доступа; стоимость проектирования и строительства магистральных участков ВОЛС (производится по расценкам пунктов 4.2÷4.4, устройство кабельного вывода/ввода производиться по расценкам 5.24÷5.26. </t>
    </r>
  </si>
  <si>
    <r>
      <t xml:space="preserve">Строительство сетей абонентского доступа по технологии GPON в сегменте Стандартной застройки и Новостройках
(дома </t>
    </r>
    <r>
      <rPr>
        <b/>
        <sz val="10"/>
        <color rgb="FFFF0000"/>
        <rFont val="Consolas"/>
        <family val="3"/>
        <charset val="204"/>
      </rPr>
      <t>выше 3-х этажей</t>
    </r>
    <r>
      <rPr>
        <b/>
        <sz val="10"/>
        <color rgb="FF000000"/>
        <rFont val="Consolas"/>
        <family val="3"/>
        <charset val="204"/>
      </rPr>
      <t>):</t>
    </r>
  </si>
  <si>
    <r>
      <t xml:space="preserve">Строительство сетей абонентского доступа по технологии GPON в сегменте малоэтажной застройки
(дома </t>
    </r>
    <r>
      <rPr>
        <b/>
        <sz val="10"/>
        <color rgb="FFFF0000"/>
        <rFont val="Consolas"/>
        <family val="3"/>
        <charset val="204"/>
      </rPr>
      <t>до 3-х</t>
    </r>
    <r>
      <rPr>
        <b/>
        <sz val="10"/>
        <color rgb="FF000000"/>
        <rFont val="Consolas"/>
        <family val="3"/>
        <charset val="204"/>
      </rPr>
      <t xml:space="preserve"> этажей, включительно):</t>
    </r>
  </si>
  <si>
    <r>
      <t>GPON - стандартное строительство в домах от 3-х этажей и выше (ДРС под 100%,  ОРШ в каждом доме).</t>
    </r>
    <r>
      <rPr>
        <sz val="10"/>
        <color rgb="FFFF0000"/>
        <rFont val="Consolas"/>
        <family val="3"/>
        <charset val="204"/>
      </rPr>
      <t xml:space="preserve"> </t>
    </r>
    <r>
      <rPr>
        <sz val="10"/>
        <color rgb="FF0000FF"/>
        <rFont val="Consolas"/>
        <family val="3"/>
        <charset val="204"/>
      </rPr>
      <t xml:space="preserve">Проектирование и строительство магистральных участков ВОЛС производится по отдельным расценкам пунктов 4.2÷4.4, устройство кабельного вывода/ввода производиться по расценкам 5.24÷5.26.
</t>
    </r>
    <r>
      <rPr>
        <b/>
        <sz val="10"/>
        <color rgb="FF0000FF"/>
        <rFont val="Consolas"/>
        <family val="3"/>
        <charset val="204"/>
      </rPr>
      <t>Строительство слаботочных стояков не производится,</t>
    </r>
    <r>
      <rPr>
        <sz val="10"/>
        <color rgb="FF0000FF"/>
        <rFont val="Consolas"/>
        <family val="3"/>
        <charset val="204"/>
      </rPr>
      <t xml:space="preserve"> при наличии подъездного слаботочного стояка (стояков) от Застройщика, заполненных суммарно менее 50 % и суммарной площадью более 100 см2. При отклонении от указанных параметров, проектирование и строительство слаботочных стояков производиться по отдельной расценке пункта 6.4. </t>
    </r>
    <r>
      <rPr>
        <sz val="10"/>
        <color rgb="FFFF0000"/>
        <rFont val="Consolas"/>
        <family val="3"/>
        <charset val="204"/>
      </rPr>
      <t xml:space="preserve">
</t>
    </r>
    <r>
      <rPr>
        <sz val="10"/>
        <color theme="1"/>
        <rFont val="Consolas"/>
        <family val="3"/>
        <charset val="204"/>
      </rPr>
      <t xml:space="preserve">ПИР, СМР, Прочие затраты, включая: Проектирование домовой распределительной сети. Строительство распределительной сети с учётом стоимости материалов и кабельной продукции, включая, но не ограничиваясь, выполнение следующих видов работ: согласование проведения работ с собственниками жилья; прокладка ВОК по существующему или вновь построенному </t>
    </r>
    <r>
      <rPr>
        <sz val="10"/>
        <color theme="1" tint="4.9989318521683403E-2"/>
        <rFont val="Consolas"/>
        <family val="3"/>
        <charset val="204"/>
      </rPr>
      <t>горизонтальному</t>
    </r>
    <r>
      <rPr>
        <sz val="10"/>
        <color rgb="FFFF0000"/>
        <rFont val="Consolas"/>
        <family val="3"/>
        <charset val="204"/>
      </rPr>
      <t xml:space="preserve"> </t>
    </r>
    <r>
      <rPr>
        <sz val="10"/>
        <color theme="1"/>
        <rFont val="Consolas"/>
        <family val="3"/>
        <charset val="204"/>
      </rPr>
      <t>трубопроводу; установка оптического распределительного шкафа (ОРШ) со сплиттерами 1-го каскада (включая стоимость ОРШ и сплиттера 1-го каскада); установка оптической распределительной коробки ОРК (</t>
    </r>
    <r>
      <rPr>
        <b/>
        <sz val="10"/>
        <color rgb="FF0000FF"/>
        <rFont val="Consolas"/>
        <family val="3"/>
        <charset val="204"/>
      </rPr>
      <t>включая стоимость ОРК,</t>
    </r>
    <r>
      <rPr>
        <sz val="10"/>
        <color rgb="FF0000FF"/>
        <rFont val="Consolas"/>
        <family val="3"/>
        <charset val="204"/>
      </rPr>
      <t xml:space="preserve"> </t>
    </r>
    <r>
      <rPr>
        <b/>
        <sz val="10"/>
        <color rgb="FF0000FF"/>
        <rFont val="Consolas"/>
        <family val="3"/>
        <charset val="204"/>
      </rPr>
      <t>без учета стоимости</t>
    </r>
    <r>
      <rPr>
        <sz val="10"/>
        <color rgb="FF0000FF"/>
        <rFont val="Consolas"/>
        <family val="3"/>
        <charset val="204"/>
      </rPr>
      <t xml:space="preserve"> </t>
    </r>
    <r>
      <rPr>
        <b/>
        <sz val="10"/>
        <color rgb="FF0000FF"/>
        <rFont val="Consolas"/>
        <family val="3"/>
        <charset val="204"/>
      </rPr>
      <t>сплиттера 2-го каскада (УСМ)</t>
    </r>
    <r>
      <rPr>
        <sz val="10"/>
        <color theme="1"/>
        <rFont val="Consolas"/>
        <family val="3"/>
        <charset val="204"/>
      </rPr>
      <t>); монтаж, разварка ВОК с комплексом измерений; подготовка, сдача ИД и законченного строительством объекта.</t>
    </r>
  </si>
  <si>
    <r>
      <t xml:space="preserve">GPON - строительство в малоэтажных домах высотой от 3-х этажей и ниже (ДРС в подъездах не строится, ОРК - одна на подъезд, ОРШ на группу домов, кабель от ОРШ до ОРК методом подвеса). </t>
    </r>
    <r>
      <rPr>
        <sz val="10"/>
        <color rgb="FF0000FF"/>
        <rFont val="Consolas"/>
        <family val="3"/>
        <charset val="204"/>
      </rPr>
      <t>Проектирование и строительство магистральных участков ВОЛС производится по отдельным расценкам пунктов 4.2÷4.4, устройство кабельного вывода/ввода производиться по расценкам 5.24÷5.26.</t>
    </r>
    <r>
      <rPr>
        <sz val="10"/>
        <color rgb="FFFF0000"/>
        <rFont val="Consolas"/>
        <family val="3"/>
        <charset val="204"/>
      </rPr>
      <t xml:space="preserve">
</t>
    </r>
    <r>
      <rPr>
        <sz val="10"/>
        <color theme="1"/>
        <rFont val="Consolas"/>
        <family val="3"/>
        <charset val="204"/>
      </rPr>
      <t xml:space="preserve">ПИР, СМР, Прочие затраты, включая: Проектирование и согласование проведения работ с собственниками жилья; прокладка распределительных ВОК; установка оптического распределительного шкафа (ОРШ) со сплиттерами 1-го каскада (включая стоимость ОРШ и сплиттера 1-го каскада); установка оптической распределительной коробки ОРК </t>
    </r>
    <r>
      <rPr>
        <sz val="10"/>
        <color rgb="FF0000FF"/>
        <rFont val="Consolas"/>
        <family val="3"/>
        <charset val="204"/>
      </rPr>
      <t>(включая стоимость ОРК, без учета стоимости сплиттера 2-го каскада (УСМ)</t>
    </r>
    <r>
      <rPr>
        <sz val="10"/>
        <color theme="1"/>
        <rFont val="Consolas"/>
        <family val="3"/>
        <charset val="204"/>
      </rPr>
      <t>); монтаж, разварка ВОК с комплексом измерений; подготовка, сдача ИД и законченного строительством объекта.</t>
    </r>
  </si>
  <si>
    <t xml:space="preserve">Для объектов, с количеством две и менее квартир на этаже, допускается производить работы по расценкам раздела 3.  
Не применяется совместно с Работами пунктов с  6.5÷ 6.15; 6.21÷ 6.24 </t>
  </si>
  <si>
    <r>
      <t xml:space="preserve">GPON - строительство в Новостройках (ДРС под 100%, ОРШ в каждом доме, ОРК через этаж или на каждом этаже). Стояки не строятся. </t>
    </r>
    <r>
      <rPr>
        <sz val="10"/>
        <color rgb="FF0000FF"/>
        <rFont val="Consolas"/>
        <family val="3"/>
        <charset val="204"/>
      </rPr>
      <t xml:space="preserve"> Проектирование и строительство магистральных участков ВОЛС производится по отдельным расценкам пунктов 4.2÷4.4, устройство кабельного вывода/ввода производиться по расценкам 5.24÷5.26. В случае необходимости строительства слаботочных стояков, проектирование и строительство производиться по отдельной расценке пункта 6.4. Организация вводов в  ДХ производиться по расценкам 6.40÷6.41.</t>
    </r>
    <r>
      <rPr>
        <sz val="10"/>
        <color rgb="FFFF0000"/>
        <rFont val="Consolas"/>
        <family val="3"/>
        <charset val="204"/>
      </rPr>
      <t xml:space="preserve">
</t>
    </r>
    <r>
      <rPr>
        <sz val="10"/>
        <color theme="1"/>
        <rFont val="Consolas"/>
        <family val="3"/>
        <charset val="204"/>
      </rPr>
      <t>ПИР, СМР, Прочие затраты, включая: Проектирование домовой распределительной сети. Строительство распределительной сети с учётом стоимости материалов и кабельной продукции, включая, но не ограничиваясь, выполнение следующих видов работ: согласование времени проведения работ с Застройщиками; прокладка распределительных ВОК по существующему  или вновь построенному</t>
    </r>
    <r>
      <rPr>
        <sz val="10"/>
        <color theme="1" tint="4.9989318521683403E-2"/>
        <rFont val="Consolas"/>
        <family val="3"/>
        <charset val="204"/>
      </rPr>
      <t xml:space="preserve"> горизонтальному</t>
    </r>
    <r>
      <rPr>
        <sz val="10"/>
        <color theme="1"/>
        <rFont val="Consolas"/>
        <family val="3"/>
        <charset val="204"/>
      </rPr>
      <t xml:space="preserve"> трубопроводу; установка оптического распределительного шкафа (ОРШ) со сплиттерами 1-го каскада (включая стоимость ОРШ и сплиттера 1-го каскада); установка оптической распределительной коробки ОРК и УСМ </t>
    </r>
    <r>
      <rPr>
        <sz val="10"/>
        <color rgb="FF0000FF"/>
        <rFont val="Consolas"/>
        <family val="3"/>
        <charset val="204"/>
      </rPr>
      <t>(</t>
    </r>
    <r>
      <rPr>
        <b/>
        <sz val="10"/>
        <color rgb="FF0000FF"/>
        <rFont val="Consolas"/>
        <family val="3"/>
        <charset val="204"/>
      </rPr>
      <t>включая стоимость ОРК и сплиттера 2-го каскада (УСМ)</t>
    </r>
    <r>
      <rPr>
        <sz val="10"/>
        <color rgb="FF0000FF"/>
        <rFont val="Consolas"/>
        <family val="3"/>
        <charset val="204"/>
      </rPr>
      <t>)</t>
    </r>
    <r>
      <rPr>
        <sz val="10"/>
        <color theme="1"/>
        <rFont val="Consolas"/>
        <family val="3"/>
        <charset val="204"/>
      </rPr>
      <t>; монтаж, разварка ВОК с комплексом измерений; подготовка, сдача ИД и законченного строительством объекта.</t>
    </r>
  </si>
  <si>
    <r>
      <rPr>
        <b/>
        <sz val="14"/>
        <color rgb="FF0000FF"/>
        <rFont val="Consolas"/>
        <family val="3"/>
        <charset val="204"/>
      </rPr>
      <t>Примечание:</t>
    </r>
    <r>
      <rPr>
        <sz val="12"/>
        <color rgb="FF000000"/>
        <rFont val="Consolas"/>
        <family val="3"/>
        <charset val="204"/>
      </rPr>
      <t xml:space="preserve">
</t>
    </r>
    <r>
      <rPr>
        <b/>
        <sz val="12"/>
        <color theme="1"/>
        <rFont val="Consolas"/>
        <family val="3"/>
        <charset val="204"/>
      </rPr>
      <t>В каждый из указанных выше видов Работ в т.ч. входят: 
1. затраты на согласования, оплату ТУ;
2. затраты на ПИР;
3. затраты на оформление согласований, разрешений на производство работ;
4. затраты на оформление исполнительной документации (ИД).</t>
    </r>
    <r>
      <rPr>
        <sz val="12"/>
        <color rgb="FF0000FF"/>
        <rFont val="Consolas"/>
        <family val="3"/>
        <charset val="204"/>
      </rPr>
      <t xml:space="preserve">
</t>
    </r>
  </si>
  <si>
    <r>
      <t xml:space="preserve">Прокладка и монтаж ВОК </t>
    </r>
    <r>
      <rPr>
        <b/>
        <u/>
        <sz val="10"/>
        <color rgb="FF0000FF"/>
        <rFont val="Consolas"/>
        <family val="3"/>
        <charset val="204"/>
      </rPr>
      <t>в кабельной канализаци</t>
    </r>
    <r>
      <rPr>
        <b/>
        <sz val="10"/>
        <rFont val="Consolas"/>
        <family val="3"/>
        <charset val="204"/>
      </rPr>
      <t>и, включая установку консолей в колодцах  (при необходимости), внутриобъектовые работы, монтаж кабельростов, стоек, оптических кроссов</t>
    </r>
  </si>
  <si>
    <r>
      <t>ПИР, СМР, Прочие затраты, включая: стоимость оптического кабеля (с учётом технологических, монтажных запасов кабеля), установку муфт и кроссов со сваркой волокон, (включая стоимость оптических муфт и кроссов, стоек и кабельростов), откачку воды из телефонных колодцев (ТК), очистку ТК, про</t>
    </r>
    <r>
      <rPr>
        <sz val="10"/>
        <color theme="1" tint="4.9989318521683403E-2"/>
        <rFont val="Consolas"/>
        <family val="3"/>
        <charset val="204"/>
      </rPr>
      <t>верку проходимости кабельной канализации, промывку кабельной канализации, герметизацию каналов, бирки; устройство вывода на стену/опору</t>
    </r>
    <r>
      <rPr>
        <sz val="10"/>
        <color theme="1"/>
        <rFont val="Consolas"/>
        <family val="3"/>
        <charset val="204"/>
      </rPr>
      <t xml:space="preserve">, вывод на стену/опору; прокладку по стене; </t>
    </r>
    <r>
      <rPr>
        <sz val="10"/>
        <color theme="1" tint="4.9989318521683403E-2"/>
        <rFont val="Consolas"/>
        <family val="3"/>
        <charset val="204"/>
      </rPr>
      <t>устройство ввода, ввод кабеля в здание по существующему каналу, внутриобъектовые работы, монтаж кабельростов, стоек, оптических кроссов, оконеч</t>
    </r>
    <r>
      <rPr>
        <sz val="10"/>
        <color theme="1"/>
        <rFont val="Consolas"/>
        <family val="3"/>
        <charset val="204"/>
      </rPr>
      <t xml:space="preserve">ивание кабеля,  проведение  всех измерений ВОК, включая входной контроль кабеля, монтаж сплиттеров, дроп муфт, ОРК, ОРШ (включая стоимость сплиттеров, дроп муфт, ОРК, ОРШ),  с оформлением разрешительных документов, в том числе согласование с УК и ТСЖ, исполнительной документации.
</t>
    </r>
    <r>
      <rPr>
        <sz val="10"/>
        <color rgb="FF0000FF"/>
        <rFont val="Consolas"/>
        <family val="3"/>
        <charset val="204"/>
      </rPr>
      <t>Протяженность трассы  - длина прокладываемого кабеля до оптического кросса.</t>
    </r>
  </si>
  <si>
    <r>
      <t>ВОК</t>
    </r>
    <r>
      <rPr>
        <b/>
        <sz val="10"/>
        <color rgb="FFFF0000"/>
        <rFont val="Consolas"/>
        <family val="3"/>
        <charset val="204"/>
      </rPr>
      <t xml:space="preserve"> 4 -16</t>
    </r>
    <r>
      <rPr>
        <sz val="10"/>
        <color theme="1"/>
        <rFont val="Consolas"/>
        <family val="3"/>
        <charset val="204"/>
      </rPr>
      <t xml:space="preserve"> волокон</t>
    </r>
  </si>
  <si>
    <r>
      <t xml:space="preserve">ВОК </t>
    </r>
    <r>
      <rPr>
        <b/>
        <sz val="10"/>
        <color rgb="FFFF0000"/>
        <rFont val="Consolas"/>
        <family val="3"/>
        <charset val="204"/>
      </rPr>
      <t>24- 48</t>
    </r>
    <r>
      <rPr>
        <sz val="10"/>
        <color theme="1"/>
        <rFont val="Consolas"/>
        <family val="3"/>
        <charset val="204"/>
      </rPr>
      <t xml:space="preserve"> волокон</t>
    </r>
  </si>
  <si>
    <r>
      <t xml:space="preserve">ВОК </t>
    </r>
    <r>
      <rPr>
        <b/>
        <sz val="10"/>
        <color rgb="FFFF0000"/>
        <rFont val="Consolas"/>
        <family val="3"/>
        <charset val="204"/>
      </rPr>
      <t>более 48</t>
    </r>
    <r>
      <rPr>
        <sz val="10"/>
        <color theme="1"/>
        <rFont val="Consolas"/>
        <family val="3"/>
        <charset val="204"/>
      </rPr>
      <t xml:space="preserve"> волокон</t>
    </r>
  </si>
  <si>
    <r>
      <t xml:space="preserve">Прокладка и монтаж ВОК </t>
    </r>
    <r>
      <rPr>
        <b/>
        <u/>
        <sz val="10"/>
        <color rgb="FF0000FF"/>
        <rFont val="Consolas"/>
        <family val="3"/>
        <charset val="204"/>
      </rPr>
      <t>в грунте</t>
    </r>
    <r>
      <rPr>
        <b/>
        <sz val="10"/>
        <rFont val="Consolas"/>
        <family val="3"/>
        <charset val="204"/>
      </rPr>
      <t>, включая землеустроительное дело, топографо-геодезические работы, согласования</t>
    </r>
  </si>
  <si>
    <r>
      <t>ПИР, СМР, Прочие затраты в составе:  разработка траншеи, прокладка опознавательной ленты, прокладка кабеля, монтаж  муфт и кроссов со сваркой волокон, (включая стоимость оптического кабеля и муфт, кроссов, стоек и кабельростов), защита кабеля в опасных местах не требующих применения ГНБ (места перехода ч</t>
    </r>
    <r>
      <rPr>
        <sz val="10"/>
        <color theme="1" tint="4.9989318521683403E-2"/>
        <rFont val="Consolas"/>
        <family val="3"/>
        <charset val="204"/>
      </rPr>
      <t>ерез дороги, пересечение с инженерными сетями, внутри объекта и т.д.), установка пикетных столбиков; устройство ввывода на стену/опору</t>
    </r>
    <r>
      <rPr>
        <sz val="10"/>
        <color theme="1"/>
        <rFont val="Consolas"/>
        <family val="3"/>
        <charset val="204"/>
      </rPr>
      <t xml:space="preserve">, вывод кабеля на стену/опору; прокладка по стене и существующей инфраструктуре; </t>
    </r>
    <r>
      <rPr>
        <sz val="10"/>
        <color theme="1" tint="4.9989318521683403E-2"/>
        <rFont val="Consolas"/>
        <family val="3"/>
        <charset val="204"/>
      </rPr>
      <t xml:space="preserve">устройство ввода, ввод кабеля в здание по существующему каналу, внутриобъектовые работы, монтаж кабельростов, стоек, </t>
    </r>
    <r>
      <rPr>
        <sz val="10"/>
        <color theme="1"/>
        <rFont val="Consolas"/>
        <family val="3"/>
        <charset val="204"/>
      </rPr>
      <t xml:space="preserve">оптических кроссов,  оконечивание кабеля с обеих сторон, включая работы по восстановлению  асфальтобетонных покрытий проезжей части, тротуаров и работ по благоустройству, проведение  всех измерений ВОК, включая входной контроль кабеля, монтаж сплиттеров, ОРК, ОРШ (включая стоимость сплиттеров, дроп муфт, ОРК, ОРШ), оформление разрешительных документов, в том числе согласование с УК и ТСЖ, исполнительной документации и оформление охранных зон линий связи. </t>
    </r>
    <r>
      <rPr>
        <b/>
        <sz val="10"/>
        <color rgb="FF0000FF"/>
        <rFont val="Consolas"/>
        <family val="3"/>
        <charset val="204"/>
      </rPr>
      <t>Протяженность трассы  - длина прокладываемого кабеля до оптического кросса.</t>
    </r>
  </si>
  <si>
    <r>
      <t xml:space="preserve">ВОК </t>
    </r>
    <r>
      <rPr>
        <b/>
        <sz val="10"/>
        <color rgb="FFFF0000"/>
        <rFont val="Consolas"/>
        <family val="3"/>
        <charset val="204"/>
      </rPr>
      <t xml:space="preserve">4 -16 </t>
    </r>
    <r>
      <rPr>
        <sz val="10"/>
        <rFont val="Consolas"/>
        <family val="3"/>
        <charset val="204"/>
      </rPr>
      <t>волокон</t>
    </r>
  </si>
  <si>
    <r>
      <t xml:space="preserve">ВОК </t>
    </r>
    <r>
      <rPr>
        <b/>
        <sz val="10"/>
        <color rgb="FFFF0000"/>
        <rFont val="Consolas"/>
        <family val="3"/>
        <charset val="204"/>
      </rPr>
      <t>24- 48</t>
    </r>
    <r>
      <rPr>
        <sz val="10"/>
        <rFont val="Consolas"/>
        <family val="3"/>
        <charset val="204"/>
      </rPr>
      <t xml:space="preserve"> волокон</t>
    </r>
  </si>
  <si>
    <r>
      <t xml:space="preserve">ВОК </t>
    </r>
    <r>
      <rPr>
        <b/>
        <sz val="10"/>
        <color rgb="FFFF0000"/>
        <rFont val="Consolas"/>
        <family val="3"/>
        <charset val="204"/>
      </rPr>
      <t>более 48</t>
    </r>
    <r>
      <rPr>
        <sz val="10"/>
        <rFont val="Consolas"/>
        <family val="3"/>
        <charset val="204"/>
      </rPr>
      <t xml:space="preserve"> волокон</t>
    </r>
  </si>
  <si>
    <r>
      <t xml:space="preserve">ВОК </t>
    </r>
    <r>
      <rPr>
        <b/>
        <sz val="10"/>
        <color rgb="FFFF0000"/>
        <rFont val="Consolas"/>
        <family val="3"/>
        <charset val="204"/>
      </rPr>
      <t>4 -16</t>
    </r>
    <r>
      <rPr>
        <sz val="10"/>
        <color theme="1"/>
        <rFont val="Consolas"/>
        <family val="3"/>
        <charset val="204"/>
      </rPr>
      <t xml:space="preserve"> волокон</t>
    </r>
  </si>
  <si>
    <r>
      <t xml:space="preserve">ВОК </t>
    </r>
    <r>
      <rPr>
        <b/>
        <sz val="10"/>
        <color rgb="FFFF0000"/>
        <rFont val="Consolas"/>
        <family val="3"/>
        <charset val="204"/>
      </rPr>
      <t xml:space="preserve">24- 48 </t>
    </r>
    <r>
      <rPr>
        <sz val="10"/>
        <color theme="1"/>
        <rFont val="Consolas"/>
        <family val="3"/>
        <charset val="204"/>
      </rPr>
      <t>волокон</t>
    </r>
  </si>
  <si>
    <r>
      <t xml:space="preserve"> Прокладка и монтаж ВОК </t>
    </r>
    <r>
      <rPr>
        <b/>
        <u/>
        <sz val="10"/>
        <color rgb="FF0000FF"/>
        <rFont val="Consolas"/>
        <family val="3"/>
        <charset val="204"/>
      </rPr>
      <t xml:space="preserve">по существующим опорам </t>
    </r>
    <r>
      <rPr>
        <b/>
        <sz val="10"/>
        <rFont val="Consolas"/>
        <family val="3"/>
        <charset val="204"/>
      </rPr>
      <t>(трубостойкам, между зданиями)</t>
    </r>
  </si>
  <si>
    <r>
      <t xml:space="preserve">ПИР, СМР, Прочие затраты, включая: установку муфт и кроссов, (включая стоимость оптического кабеля и муфт, кроссов, стоек и кабельростов),защиту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прокладка по стене и существующей инфраструктуре, ввод кабеля в здание с пробивкой и заделкой отверстий при необходимости, внутриобъектовые работы, монтаж кабельростов, стоек, оптических кроссов, оконечивание кабеля с обеих сторон, проведение всех  измерений ВОК, монтаж сплиттеров, дроп муфт, ОРК, ОРШ (включая стоимость сплиттеров, ОРК, ОРШ), оформление разрешительных документов, в том числе согласование с УК и ТСЖ, исполнительной документации.
</t>
    </r>
    <r>
      <rPr>
        <b/>
        <sz val="10"/>
        <color rgb="FF0000FF"/>
        <rFont val="Consolas"/>
        <family val="3"/>
        <charset val="204"/>
      </rPr>
      <t>Протяженность трассы  - длина прокладываемого кабеля до оптического кросса.</t>
    </r>
  </si>
  <si>
    <r>
      <rPr>
        <b/>
        <sz val="14"/>
        <color rgb="FF0000FF"/>
        <rFont val="Consolas"/>
        <family val="3"/>
        <charset val="204"/>
      </rPr>
      <t>Примечание:</t>
    </r>
    <r>
      <rPr>
        <b/>
        <sz val="12"/>
        <color rgb="FFFF0000"/>
        <rFont val="Consolas"/>
        <family val="3"/>
        <charset val="204"/>
      </rPr>
      <t xml:space="preserve">
</t>
    </r>
    <r>
      <rPr>
        <b/>
        <sz val="12"/>
        <color theme="1"/>
        <rFont val="Consolas"/>
        <family val="3"/>
        <charset val="204"/>
      </rPr>
      <t>В каждый из указанных выше видов Работ в т.ч. входят:
1. Затраты на получение/оформление согласований, разрешений на производство работ и технических условий у сторонних организаций (физ/юр лиц), необходимых для проведения работ по прокладке кабеля и строительству кабельной инфраструктуры;
2. Затраты на проведение проектно-изыскательских работ и подготовку рабочей документации;
3. затраты на подготовку и согласование у сторонних организаций комплекта исполнительной документации в соответствии по построенным ЛКС и объектам строительства.</t>
    </r>
  </si>
  <si>
    <t>Выполнение предпроектных обследований кабельных линий/ трасы РРЛ, от существующей инфраструктуры ПАО "Ростелеком/Башинформсвязь" до объекта строительства</t>
  </si>
  <si>
    <r>
      <t xml:space="preserve">Прокладка и монтаж ВОК </t>
    </r>
    <r>
      <rPr>
        <b/>
        <u/>
        <sz val="10"/>
        <color rgb="FF0000FF"/>
        <rFont val="Consolas"/>
        <family val="3"/>
        <charset val="204"/>
      </rPr>
      <t xml:space="preserve">в кабельной канализации, включая внутриобъектовые работы </t>
    </r>
  </si>
  <si>
    <r>
      <t>ПИР,СМР, с учётом стоимости кабеля и всех материалов для наружных и внутренних работ, (с учётом  технологических, монтажных з</t>
    </r>
    <r>
      <rPr>
        <sz val="10"/>
        <color theme="1" tint="4.9989318521683403E-2"/>
        <rFont val="Consolas"/>
        <family val="3"/>
        <charset val="204"/>
      </rPr>
      <t xml:space="preserve">апасов кабеля), в том числе сопутствующие и подготовительные работы и не ограничиваясь перечисленным: очистка, промывка, подготовка каналов канализации,  установка консолей в колодцах  (при необходимости);  монтаж/перемонтаж муфт со сваркой волокон (включая стоимость муфт, </t>
    </r>
    <r>
      <rPr>
        <b/>
        <sz val="10"/>
        <color theme="1" tint="4.9989318521683403E-2"/>
        <rFont val="Consolas"/>
        <family val="3"/>
        <charset val="204"/>
      </rPr>
      <t>из расчета 1 вновь монтируемая муфта на 0,5 км. трассы</t>
    </r>
    <r>
      <rPr>
        <sz val="10"/>
        <color theme="1" tint="4.9989318521683403E-2"/>
        <rFont val="Consolas"/>
        <family val="3"/>
        <charset val="204"/>
      </rPr>
      <t>); герметизация каналов; маркировка (бирки);  вывод кабеля из канализации на стену/опору; ввод кабеля в здание по существующему</t>
    </r>
    <r>
      <rPr>
        <sz val="10"/>
        <color theme="1"/>
        <rFont val="Consolas"/>
        <family val="3"/>
        <charset val="204"/>
      </rPr>
      <t xml:space="preserve"> каналу с пробивкой и заделкой гермет</t>
    </r>
    <r>
      <rPr>
        <sz val="10"/>
        <color theme="1" tint="4.9989318521683403E-2"/>
        <rFont val="Consolas"/>
        <family val="3"/>
        <charset val="204"/>
      </rPr>
      <t xml:space="preserve">изации; ввод кабеля в здание выше фундаментного основания с пробивкой и заделкой технологических отверстий; </t>
    </r>
    <r>
      <rPr>
        <sz val="10"/>
        <color theme="1"/>
        <rFont val="Consolas"/>
        <family val="3"/>
        <charset val="204"/>
      </rPr>
      <t xml:space="preserve">внутриобъектовые работы: прокладка и монтаж кабеля по стене или по конструкциям с их установкой и стоимостью (кабельросты, трубы, короба, кабель-каналы и проч.); защита кабеля в опасных местах; монтаж оптических кроссов (включая стоимость)/сплиттеров (включая стоимость), стоек с креплением и оконечиванием кабеля. Проведение  всех измерений ВОК, включая входной контроль кабеля. Оформление разрешительных документов и исполнительной документации. Прокладка кабеля учитывается в протяженности трассы ВОК до оптического кросса/сплиттеров. 
</t>
    </r>
    <r>
      <rPr>
        <b/>
        <sz val="10"/>
        <color rgb="FF0000FF"/>
        <rFont val="Consolas"/>
        <family val="3"/>
        <charset val="204"/>
      </rPr>
      <t>Устройство кабельного ввода в здание в фундаментном основании от существующего колодца; Устройство кабельного вывода на стену/опору от существующего колодца, производится по расценкам  5.24÷5.25.</t>
    </r>
  </si>
  <si>
    <r>
      <rPr>
        <sz val="10"/>
        <color rgb="FF0000FF"/>
        <rFont val="Consolas"/>
        <family val="3"/>
        <charset val="204"/>
      </rPr>
      <t xml:space="preserve">в случае, если протяженность трассы кабельной линии менее 100 м, стоимость приравнивается к удельной стоимости = 100 м независимо от фактической длины. </t>
    </r>
    <r>
      <rPr>
        <b/>
        <sz val="10"/>
        <color rgb="FF0000FF"/>
        <rFont val="Consolas"/>
        <family val="3"/>
        <charset val="204"/>
      </rPr>
      <t xml:space="preserve">При комбинированном способе прокладки (грунт, подвес, в кабельной канализации), стоимость рассчитывается путем определения весовых долей каждого способа прокладки в (%) к длине 1 км и их сложения. 
</t>
    </r>
  </si>
  <si>
    <r>
      <t xml:space="preserve">ВОК ёмкостью </t>
    </r>
    <r>
      <rPr>
        <b/>
        <sz val="10"/>
        <color rgb="FFFF0000"/>
        <rFont val="Consolas"/>
        <family val="3"/>
        <charset val="204"/>
      </rPr>
      <t xml:space="preserve"> до 8</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</si>
  <si>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8 до 16</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</si>
  <si>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16 до 24</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</si>
  <si>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24 до 32</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</si>
  <si>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32 до 48</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</si>
  <si>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более  48 волокон до 96</t>
    </r>
    <r>
      <rPr>
        <sz val="10"/>
        <color theme="1"/>
        <rFont val="Consolas"/>
        <family val="3"/>
        <charset val="204"/>
      </rPr>
      <t xml:space="preserve"> включительно</t>
    </r>
  </si>
  <si>
    <r>
      <t>ВОК ёмкостью</t>
    </r>
    <r>
      <rPr>
        <b/>
        <sz val="10"/>
        <color rgb="FFFF0000"/>
        <rFont val="Consolas"/>
        <family val="3"/>
        <charset val="204"/>
      </rPr>
      <t xml:space="preserve"> 144</t>
    </r>
    <r>
      <rPr>
        <sz val="10"/>
        <color theme="1"/>
        <rFont val="Consolas"/>
        <family val="3"/>
        <charset val="204"/>
      </rPr>
      <t xml:space="preserve"> волокна</t>
    </r>
  </si>
  <si>
    <r>
      <t xml:space="preserve">Прокладка и монтаж ВОК </t>
    </r>
    <r>
      <rPr>
        <b/>
        <u/>
        <sz val="10"/>
        <color rgb="FF0000FF"/>
        <rFont val="Consolas"/>
        <family val="3"/>
        <charset val="204"/>
      </rPr>
      <t xml:space="preserve">в грунте, включая внутриобъектовые работы </t>
    </r>
  </si>
  <si>
    <r>
      <t>ПИР, СМР, с учётом стоимости кабеля и материалов для наружных и внутренних работ, в том числе и не ограничиваясь перечисленным: Разработка траншеи; прокл</t>
    </r>
    <r>
      <rPr>
        <sz val="10"/>
        <color theme="1" tint="4.9989318521683403E-2"/>
        <rFont val="Consolas"/>
        <family val="3"/>
        <charset val="204"/>
      </rPr>
      <t xml:space="preserve">адка опознавательной ленты; прокладка кабеля; защита кабеля в опасных местах не требующих применения ГНБ (места перехода через дороги, пересечение с инженерными сетями, внутри объекта и т.д.), монтаж/перемонтаж  муфт со сваркой волокон (включая стоимость муфт,  </t>
    </r>
    <r>
      <rPr>
        <b/>
        <sz val="10"/>
        <color theme="1" tint="4.9989318521683403E-2"/>
        <rFont val="Consolas"/>
        <family val="3"/>
        <charset val="204"/>
      </rPr>
      <t>из расчета 1 вновь монтируемая муфта на 0,5 км. трассы</t>
    </r>
    <r>
      <rPr>
        <sz val="10"/>
        <color theme="1" tint="4.9989318521683403E-2"/>
        <rFont val="Consolas"/>
        <family val="3"/>
        <charset val="204"/>
      </rPr>
      <t>); установка пикетных столбиков;  вывод кабеля на стену, устройство вывода и вывод кабеля на опору</t>
    </r>
    <r>
      <rPr>
        <sz val="10"/>
        <color theme="1"/>
        <rFont val="Consolas"/>
        <family val="3"/>
        <charset val="204"/>
      </rPr>
      <t>,  прокладка по стене/опоре в трубе с учётом её стоимости (длина трубы определяется проектом);  ввод кабеля в здание по существующему каналу с пробивкой и заделкой герметизации;</t>
    </r>
    <r>
      <rPr>
        <sz val="10"/>
        <color theme="1" tint="4.9989318521683403E-2"/>
        <rFont val="Consolas"/>
        <family val="3"/>
        <charset val="204"/>
      </rPr>
      <t xml:space="preserve"> ввод кабеля в здание выше фундаментного основания с пробивкой и заделкой технологических отверстий; работы по восстановлению нарушенных покрытий, рекультивации земель,  благоустройству. Внутриобъектовые работы: прокладка и</t>
    </r>
    <r>
      <rPr>
        <sz val="10"/>
        <color theme="1"/>
        <rFont val="Consolas"/>
        <family val="3"/>
        <charset val="204"/>
      </rPr>
      <t xml:space="preserve"> монтаж кабеля по стене или по конструкциям с их установкой и стоимостью (кабельросты, трубы, короба, кабель-каналы и проч.), монтаж оптических кроссов (включая стоимость)/сплиттеров (включая стоимость), стоек с креплением и оконечиванием кабеля. Проведение  всех измерений ВОК, включая входной контроль кабеля. Топографо-геодезические работы, оформление разрешительных документов и исполнительной документации,  оформление охранных зон линий связи. Прокладка кабеля учитывается в протяженности трассы ВОК до оптического кросса/сплиттеров.
</t>
    </r>
    <r>
      <rPr>
        <b/>
        <sz val="10"/>
        <color rgb="FF0000FF"/>
        <rFont val="Consolas"/>
        <family val="3"/>
        <charset val="204"/>
      </rPr>
      <t>Устройство кабельного вывода на стену, производится по расценке 5.26.</t>
    </r>
  </si>
  <si>
    <r>
      <rPr>
        <sz val="10"/>
        <color rgb="FF0000FF"/>
        <rFont val="Consolas"/>
        <family val="3"/>
        <charset val="204"/>
      </rPr>
      <t xml:space="preserve">в случае, если протяженность трассы кабельной линии менее 100 м, стоимость приравнивается к удельной стоимости = 100 м независимо от фактической длины. </t>
    </r>
    <r>
      <rPr>
        <b/>
        <sz val="10"/>
        <color rgb="FF0000FF"/>
        <rFont val="Consolas"/>
        <family val="3"/>
        <charset val="204"/>
      </rPr>
      <t>При комбинированном способе прокладки (грунт, подвес, в кабельной канализации), стоимость рассчитывается путем определения весовых долей каждого способа прокладки в (%) к длине 1 км и их сложения. 
НЕ ПРИМЕНЯТЬ  отдельно для внутриобъектовой прокладки.</t>
    </r>
  </si>
  <si>
    <r>
      <t xml:space="preserve">ВОК ёмкостью  </t>
    </r>
    <r>
      <rPr>
        <b/>
        <sz val="10"/>
        <color rgb="FFFF0000"/>
        <rFont val="Consolas"/>
        <family val="3"/>
        <charset val="204"/>
      </rPr>
      <t>до 8</t>
    </r>
    <r>
      <rPr>
        <sz val="10"/>
        <color theme="1"/>
        <rFont val="Consolas"/>
        <family val="3"/>
        <charset val="204"/>
      </rPr>
      <t xml:space="preserve"> волокон включительно</t>
    </r>
  </si>
  <si>
    <r>
      <t xml:space="preserve">ВОК ёмкостью </t>
    </r>
    <r>
      <rPr>
        <b/>
        <sz val="10"/>
        <color rgb="FFFF0000"/>
        <rFont val="Consolas"/>
        <family val="3"/>
        <charset val="204"/>
      </rPr>
      <t>144</t>
    </r>
    <r>
      <rPr>
        <sz val="10"/>
        <color theme="1"/>
        <rFont val="Consolas"/>
        <family val="3"/>
        <charset val="204"/>
      </rPr>
      <t xml:space="preserve"> волокна</t>
    </r>
  </si>
  <si>
    <r>
      <t xml:space="preserve">Прокладка и монтаж ВОК  </t>
    </r>
    <r>
      <rPr>
        <b/>
        <u/>
        <sz val="10"/>
        <color rgb="FF0000FF"/>
        <rFont val="Consolas"/>
        <family val="3"/>
        <charset val="204"/>
      </rPr>
      <t xml:space="preserve">по существующим опорам </t>
    </r>
    <r>
      <rPr>
        <b/>
        <sz val="10"/>
        <color theme="1"/>
        <rFont val="Consolas"/>
        <family val="3"/>
        <charset val="204"/>
      </rPr>
      <t>(трубостойкам, между зданиями), включая внутриобъектовые работы</t>
    </r>
  </si>
  <si>
    <r>
      <rPr>
        <sz val="10"/>
        <color theme="1" tint="4.9989318521683403E-2"/>
        <rFont val="Consolas"/>
        <family val="3"/>
        <charset val="204"/>
      </rPr>
      <t xml:space="preserve">ПИР, СМР, с учётом стоимости кабеля и всех материалов для наружных и внутренних работ, в том числе и не ограничиваясь перечисленным: монтаж/перемонтаж муфт, (включая стоимость муфт, </t>
    </r>
    <r>
      <rPr>
        <b/>
        <sz val="10"/>
        <color theme="1" tint="4.9989318521683403E-2"/>
        <rFont val="Consolas"/>
        <family val="3"/>
        <charset val="204"/>
      </rPr>
      <t>из расчета 1 вновь монтируемая муфта на 0,5 км. трассы</t>
    </r>
    <r>
      <rPr>
        <sz val="10"/>
        <color theme="1" tint="4.9989318521683403E-2"/>
        <rFont val="Consolas"/>
        <family val="3"/>
        <charset val="204"/>
      </rPr>
      <t>);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кабеля на стену; прокладка по стене в трубе с учётом её стоимости (длина трубы определяется проектом); ввод кабеля в здание с пробивкой и заделкой технологических отверстий п</t>
    </r>
    <r>
      <rPr>
        <sz val="10"/>
        <color theme="1"/>
        <rFont val="Consolas"/>
        <family val="3"/>
        <charset val="204"/>
      </rPr>
      <t xml:space="preserve">ри необходимости; внутриобъектовые работы: монтаж кабельростов, кабель-каналов, всех видов труб,  оптических кроссов  (включая стоимость)/сплиттеров (включая стоимость), стоек с креплением и оконечиванием кабеля. Проведение  всех измерений ВОК, включая входной контроль кабеля. Оформление разрешительных документов и исполнительной документации.
</t>
    </r>
    <r>
      <rPr>
        <b/>
        <sz val="10"/>
        <color rgb="FF0000FF"/>
        <rFont val="Consolas"/>
        <family val="3"/>
        <charset val="204"/>
      </rPr>
      <t xml:space="preserve">Прокладка кабеля учитывается в протяженности трассы ВОК до оптического кросса/сплиттеров. </t>
    </r>
  </si>
  <si>
    <r>
      <t xml:space="preserve">ВОК ёмкостью </t>
    </r>
    <r>
      <rPr>
        <b/>
        <sz val="10"/>
        <color rgb="FFFF0000"/>
        <rFont val="Consolas"/>
        <family val="3"/>
        <charset val="204"/>
      </rPr>
      <t xml:space="preserve">более 32 до 48 </t>
    </r>
    <r>
      <rPr>
        <sz val="10"/>
        <color theme="1"/>
        <rFont val="Consolas"/>
        <family val="3"/>
        <charset val="204"/>
      </rPr>
      <t>волокон включительно</t>
    </r>
  </si>
  <si>
    <r>
      <t>ёмкостью</t>
    </r>
    <r>
      <rPr>
        <b/>
        <sz val="10"/>
        <color rgb="FFFF0000"/>
        <rFont val="Consolas"/>
        <family val="3"/>
        <charset val="204"/>
      </rPr>
      <t xml:space="preserve"> до 8</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</si>
  <si>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8 до 16</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</si>
  <si>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16 до 24</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</si>
  <si>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24 до 32</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</si>
  <si>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32 до 48</t>
    </r>
    <r>
      <rPr>
        <sz val="10"/>
        <color theme="1"/>
        <rFont val="Consolas"/>
        <family val="3"/>
        <charset val="204"/>
      </rPr>
      <t xml:space="preserve"> портов включительно</t>
    </r>
  </si>
  <si>
    <r>
      <t xml:space="preserve">ёмкостью </t>
    </r>
    <r>
      <rPr>
        <b/>
        <sz val="10"/>
        <color rgb="FFFF0000"/>
        <rFont val="Consolas"/>
        <family val="3"/>
        <charset val="204"/>
      </rPr>
      <t>более 48 до 96</t>
    </r>
    <r>
      <rPr>
        <sz val="10"/>
        <color theme="1"/>
        <rFont val="Consolas"/>
        <family val="3"/>
        <charset val="204"/>
      </rPr>
      <t xml:space="preserve"> портов включительно</t>
    </r>
  </si>
  <si>
    <t>Применяется  на существующих кабельных линиях, при  монтаже новой муфты, организации врезки, отводов.  Применимо совместно с расценками пап. 4.2.÷ 4.4, при монтаже более 1 оптической муфты на 0,5 км строящейся трассы. 
НЕ ПРИМЕНЯТЬ с разделом №3.</t>
  </si>
  <si>
    <r>
      <rPr>
        <b/>
        <sz val="10"/>
        <color rgb="FFFF0000"/>
        <rFont val="Consolas"/>
        <family val="3"/>
        <charset val="204"/>
      </rPr>
      <t xml:space="preserve">до 24 ОВ </t>
    </r>
    <r>
      <rPr>
        <sz val="10"/>
        <color theme="1"/>
        <rFont val="Consolas"/>
        <family val="3"/>
        <charset val="204"/>
      </rPr>
      <t>включительно (соединений)</t>
    </r>
  </si>
  <si>
    <r>
      <rPr>
        <b/>
        <sz val="10"/>
        <color rgb="FFFF0000"/>
        <rFont val="Consolas"/>
        <family val="3"/>
        <charset val="204"/>
      </rPr>
      <t>до 48 ОВ</t>
    </r>
    <r>
      <rPr>
        <sz val="10"/>
        <color theme="1"/>
        <rFont val="Consolas"/>
        <family val="3"/>
        <charset val="204"/>
      </rPr>
      <t xml:space="preserve"> включительно (соединений)</t>
    </r>
  </si>
  <si>
    <r>
      <rPr>
        <b/>
        <sz val="10"/>
        <color rgb="FFFF0000"/>
        <rFont val="Consolas"/>
        <family val="3"/>
        <charset val="204"/>
      </rPr>
      <t>до 96 ОВ</t>
    </r>
    <r>
      <rPr>
        <sz val="10"/>
        <color theme="1"/>
        <rFont val="Consolas"/>
        <family val="3"/>
        <charset val="204"/>
      </rPr>
      <t xml:space="preserve"> включительно (соединений)</t>
    </r>
  </si>
  <si>
    <r>
      <rPr>
        <sz val="10"/>
        <color rgb="FFFF0000"/>
        <rFont val="Consolas"/>
        <family val="3"/>
        <charset val="204"/>
      </rPr>
      <t>до 144 ОВ</t>
    </r>
    <r>
      <rPr>
        <sz val="10"/>
        <color theme="1"/>
        <rFont val="Consolas"/>
        <family val="3"/>
        <charset val="204"/>
      </rPr>
      <t xml:space="preserve"> включительно (соединений)</t>
    </r>
  </si>
  <si>
    <r>
      <rPr>
        <b/>
        <sz val="10"/>
        <color rgb="FFFF0000"/>
        <rFont val="Consolas"/>
        <family val="3"/>
        <charset val="204"/>
      </rPr>
      <t>до 288 ОВ</t>
    </r>
    <r>
      <rPr>
        <sz val="10"/>
        <color theme="1"/>
        <rFont val="Consolas"/>
        <family val="3"/>
        <charset val="204"/>
      </rPr>
      <t xml:space="preserve"> включительно (соединений)</t>
    </r>
  </si>
  <si>
    <r>
      <rPr>
        <sz val="10"/>
        <color theme="1" tint="4.9989318521683403E-2"/>
        <rFont val="Consolas"/>
        <family val="3"/>
        <charset val="204"/>
      </rPr>
      <t xml:space="preserve">ПИР, СМР,  с учётом стоимости кабеля и всех материалов для наружных и внутренних работ, (с учетом  технологических, монтажных запасов кабеля), в том числе сопутствующие и подготовительные работы и не ограничиваясь перечисленным: очистка, промывка, подготовка каналов канализации, установка консолей в колодцах  (при необходимости). Монтаж/перемонтаж муфт (включая стоимость муфт, </t>
    </r>
    <r>
      <rPr>
        <b/>
        <sz val="10"/>
        <color theme="1" tint="4.9989318521683403E-2"/>
        <rFont val="Consolas"/>
        <family val="3"/>
        <charset val="204"/>
      </rPr>
      <t>из расчета 1 вновь монтируемая муфта на 0,5 км. трассы</t>
    </r>
    <r>
      <rPr>
        <sz val="10"/>
        <color theme="1" tint="4.9989318521683403E-2"/>
        <rFont val="Consolas"/>
        <family val="3"/>
        <charset val="204"/>
      </rPr>
      <t>); герметизация каналов; маркировка (бирки); вывод кабеля на стену/опору; прокладку по стене/опоре в трубе с учетом ее стоимости (длина трубы определяется проектом); ввод кабеля в здание по существующему каналу с пробивкой и заделкой герметизации; ввод кабеля в здание выше фундаментного основания с пробивкой и заделкой технологических отверстий; защита кабеля в опасных местах, монтаж кабельростов, кроссов и стоек с их стоимостью для крепления кроссов; оконечивание кабеля с обеих сторон. Проведение  всех измерений , включая входной контроль кабеля. Оформление разрешительных докумен</t>
    </r>
    <r>
      <rPr>
        <sz val="10"/>
        <color theme="1"/>
        <rFont val="Consolas"/>
        <family val="3"/>
        <charset val="204"/>
      </rPr>
      <t xml:space="preserve">тов и исполнительной документации. Прокладка кабеля учитывается в протяженности трассы до кросса.
</t>
    </r>
    <r>
      <rPr>
        <b/>
        <sz val="10"/>
        <color rgb="FF0000FF"/>
        <rFont val="Consolas"/>
        <family val="3"/>
        <charset val="204"/>
      </rPr>
      <t>Устройство кабельного ввода в здание в фундаментном основании от существующего колодца; Устройство кабельного вывода на стену/опору от существующего колодца, производится по расценкам  5.24÷5.25.</t>
    </r>
  </si>
  <si>
    <r>
      <t xml:space="preserve">в случае, если протяженность трассы кабельной линии менее 100 м, стоимость приравнивается к удельной стоимости = 100 м независимо от фактической длины. </t>
    </r>
    <r>
      <rPr>
        <b/>
        <sz val="10"/>
        <color rgb="FF0000FF"/>
        <rFont val="Consolas"/>
        <family val="3"/>
        <charset val="204"/>
      </rPr>
      <t>При комбинированном способе прокладки (грунт, подвес, в кабельной канализации), стоимость рассчитывается путем определения весовых долей каждого способа прокладки в (%) к длине 1 км и их сложения. 
РАСЦЕНКА ПРИМЕНЯЕТСЯ для отдельной внутриобъектовой прокладки.</t>
    </r>
  </si>
  <si>
    <r>
      <t xml:space="preserve">ёмкостью </t>
    </r>
    <r>
      <rPr>
        <b/>
        <sz val="10"/>
        <color rgb="FFFF0000"/>
        <rFont val="Consolas"/>
        <family val="3"/>
        <charset val="204"/>
      </rPr>
      <t xml:space="preserve">10 пар </t>
    </r>
  </si>
  <si>
    <r>
      <t xml:space="preserve">ёмкостью </t>
    </r>
    <r>
      <rPr>
        <b/>
        <sz val="10"/>
        <color rgb="FFFF0000"/>
        <rFont val="Consolas"/>
        <family val="3"/>
        <charset val="204"/>
      </rPr>
      <t xml:space="preserve">20 пар </t>
    </r>
  </si>
  <si>
    <r>
      <t xml:space="preserve">ёмкостью </t>
    </r>
    <r>
      <rPr>
        <b/>
        <sz val="10"/>
        <color rgb="FFFF0000"/>
        <rFont val="Consolas"/>
        <family val="3"/>
        <charset val="204"/>
      </rPr>
      <t xml:space="preserve">30 пар </t>
    </r>
  </si>
  <si>
    <r>
      <t xml:space="preserve">ёмкостью  </t>
    </r>
    <r>
      <rPr>
        <b/>
        <sz val="10"/>
        <color rgb="FFFF0000"/>
        <rFont val="Consolas"/>
        <family val="3"/>
        <charset val="204"/>
      </rPr>
      <t xml:space="preserve">50 пар </t>
    </r>
  </si>
  <si>
    <r>
      <t xml:space="preserve">ёмкостью </t>
    </r>
    <r>
      <rPr>
        <b/>
        <sz val="10"/>
        <color rgb="FFFF0000"/>
        <rFont val="Consolas"/>
        <family val="3"/>
        <charset val="204"/>
      </rPr>
      <t xml:space="preserve"> 100 пар</t>
    </r>
  </si>
  <si>
    <r>
      <t xml:space="preserve">ёмкостью  </t>
    </r>
    <r>
      <rPr>
        <b/>
        <sz val="10"/>
        <color rgb="FFFF0000"/>
        <rFont val="Consolas"/>
        <family val="3"/>
        <charset val="204"/>
      </rPr>
      <t>200 пар</t>
    </r>
  </si>
  <si>
    <r>
      <t xml:space="preserve">ёмкостью </t>
    </r>
    <r>
      <rPr>
        <b/>
        <sz val="10"/>
        <color rgb="FFFF0000"/>
        <rFont val="Consolas"/>
        <family val="3"/>
        <charset val="204"/>
      </rPr>
      <t>300 пар</t>
    </r>
  </si>
  <si>
    <r>
      <t xml:space="preserve">ёмкостью  </t>
    </r>
    <r>
      <rPr>
        <b/>
        <sz val="10"/>
        <color rgb="FFFF0000"/>
        <rFont val="Consolas"/>
        <family val="3"/>
        <charset val="204"/>
      </rPr>
      <t>400 пар</t>
    </r>
  </si>
  <si>
    <r>
      <t xml:space="preserve">ёмкостью </t>
    </r>
    <r>
      <rPr>
        <b/>
        <sz val="10"/>
        <color rgb="FFFF0000"/>
        <rFont val="Consolas"/>
        <family val="3"/>
        <charset val="204"/>
      </rPr>
      <t>более 400 пар до 600 пар</t>
    </r>
  </si>
  <si>
    <r>
      <t xml:space="preserve">Прокладка и монтаж медного кабеля всех типов </t>
    </r>
    <r>
      <rPr>
        <b/>
        <u/>
        <sz val="10"/>
        <color rgb="FF0000FF"/>
        <rFont val="Consolas"/>
        <family val="3"/>
        <charset val="204"/>
      </rPr>
      <t>в канализации</t>
    </r>
    <r>
      <rPr>
        <b/>
        <sz val="10"/>
        <color theme="1"/>
        <rFont val="Consolas"/>
        <family val="3"/>
        <charset val="204"/>
      </rPr>
      <t>, включая внутриобъектовые работы</t>
    </r>
  </si>
  <si>
    <r>
      <t xml:space="preserve">Прокладка и монтаж медного кабеля всех типов </t>
    </r>
    <r>
      <rPr>
        <b/>
        <u/>
        <sz val="10"/>
        <color rgb="FF0000FF"/>
        <rFont val="Consolas"/>
        <family val="3"/>
        <charset val="204"/>
      </rPr>
      <t>в грунт</t>
    </r>
    <r>
      <rPr>
        <b/>
        <sz val="10"/>
        <color theme="1"/>
        <rFont val="Consolas"/>
        <family val="3"/>
        <charset val="204"/>
      </rPr>
      <t xml:space="preserve">, включая внутриобъектовые работы </t>
    </r>
  </si>
  <si>
    <r>
      <t xml:space="preserve">ПИР,СМР,  включая землеустроительное дело, топосъёмку, согласования. СМР, с учётом стоимости кабеля и материалов для наружных и внутренних работ, в том числе и не ограничиваясь перечисленным:  разработка траншеи; прокладка кабеля, защита кабеля в опасных местах не требующих применения ГНБ  в соответствии с проектом (места перехода через </t>
    </r>
    <r>
      <rPr>
        <sz val="10"/>
        <color theme="1" tint="4.9989318521683403E-2"/>
        <rFont val="Consolas"/>
        <family val="3"/>
        <charset val="204"/>
      </rPr>
      <t xml:space="preserve">дороги, пересечение с инженерными сетями, внутри объекта и т.д.); монтаж/перемонтаж  муфт  (включая стоимость муфт, </t>
    </r>
    <r>
      <rPr>
        <b/>
        <sz val="10"/>
        <color theme="1" tint="4.9989318521683403E-2"/>
        <rFont val="Consolas"/>
        <family val="3"/>
        <charset val="204"/>
      </rPr>
      <t>из расчета 1 вновь монтируемая муфта на 0,5 км. трассы</t>
    </r>
    <r>
      <rPr>
        <sz val="10"/>
        <color theme="1" tint="4.9989318521683403E-2"/>
        <rFont val="Consolas"/>
        <family val="3"/>
        <charset val="204"/>
      </rPr>
      <t>); установка пикетных столбиков; вывод кабеля на стену, устройство вывода и вывод кабеля на опору</t>
    </r>
    <r>
      <rPr>
        <sz val="10"/>
        <color theme="1"/>
        <rFont val="Consolas"/>
        <family val="3"/>
        <charset val="204"/>
      </rPr>
      <t xml:space="preserve">,  прокладка по стене/опоре в трубе с учётом её стоимости (длина трубы определяется проектом);  ввод кабеля в здание по существующему каналу с пробивкой и заделкой герметизации; </t>
    </r>
    <r>
      <rPr>
        <sz val="10"/>
        <color theme="1" tint="4.9989318521683403E-2"/>
        <rFont val="Consolas"/>
        <family val="3"/>
        <charset val="204"/>
      </rPr>
      <t>ввод кабеля в здание выше фундаментного основания с пробивкой и заделкой технологических отверстий; работы по восстановлению нарушенных покрытий, рекультивации земель,  благоустройству. Внутриобъектовые работы: монтаж кабельростов, кроссов и стоек для  крепления кроссов; оконечивание кабеля с обеих сторон. Проведение  всех измерений , вк</t>
    </r>
    <r>
      <rPr>
        <sz val="10"/>
        <color theme="1"/>
        <rFont val="Consolas"/>
        <family val="3"/>
        <charset val="204"/>
      </rPr>
      <t xml:space="preserve">лючая входной контроль кабеля. Топографо-геодезические работы, оформление разрешительных документов и исполнительной документации,  оформление охранных зон линий связи. Прокладка кабеля учитывается в протяженности трассы до кросса.
</t>
    </r>
    <r>
      <rPr>
        <b/>
        <sz val="10"/>
        <color rgb="FF0000FF"/>
        <rFont val="Consolas"/>
        <family val="3"/>
        <charset val="204"/>
      </rPr>
      <t>Устройство кабельного вывода на стену, производится по расценке 5.26.</t>
    </r>
  </si>
  <si>
    <r>
      <t xml:space="preserve">в случае, если протяженность трассы кабельной линии менее 100 м, стоимость приравнивается к удельной стоимости = 100 м независимо от фактической длины. </t>
    </r>
    <r>
      <rPr>
        <b/>
        <sz val="10"/>
        <color rgb="FF0000FF"/>
        <rFont val="Consolas"/>
        <family val="3"/>
        <charset val="204"/>
      </rPr>
      <t>При комбинированном способе прокладки (грунт, подвес, в кабельной канализации), стоимость рассчитывается путем определения весовых долей каждого способа прокладки в (%) к длине 1 км и их сложения. 
НЕ ПРИМЕНЯТЬ  отдельно для внутриобъектовой прокладки.</t>
    </r>
  </si>
  <si>
    <r>
      <t xml:space="preserve">ёмкостью  </t>
    </r>
    <r>
      <rPr>
        <b/>
        <sz val="10"/>
        <color rgb="FFFF0000"/>
        <rFont val="Consolas"/>
        <family val="3"/>
        <charset val="204"/>
      </rPr>
      <t>100 пар</t>
    </r>
  </si>
  <si>
    <r>
      <t xml:space="preserve">ёмкостью </t>
    </r>
    <r>
      <rPr>
        <b/>
        <sz val="10"/>
        <color rgb="FFFF0000"/>
        <rFont val="Consolas"/>
        <family val="3"/>
        <charset val="204"/>
      </rPr>
      <t xml:space="preserve"> 50 пар </t>
    </r>
  </si>
  <si>
    <r>
      <t xml:space="preserve"> ПИР, СМР, с учётом стоимости кабеля и материалов, не ограничиваясь перечисленным: установка/перемонтаж муфт, (включая стоимо</t>
    </r>
    <r>
      <rPr>
        <sz val="10"/>
        <color theme="1" tint="4.9989318521683403E-2"/>
        <rFont val="Consolas"/>
        <family val="3"/>
        <charset val="204"/>
      </rPr>
      <t xml:space="preserve">сть муфт, </t>
    </r>
    <r>
      <rPr>
        <b/>
        <sz val="10"/>
        <color theme="1" tint="4.9989318521683403E-2"/>
        <rFont val="Consolas"/>
        <family val="3"/>
        <charset val="204"/>
      </rPr>
      <t>из расчета 1 вновь монтируемая муфта на 0,5 км. трассы</t>
    </r>
    <r>
      <rPr>
        <sz val="10"/>
        <color theme="1" tint="4.9989318521683403E-2"/>
        <rFont val="Consolas"/>
        <family val="3"/>
        <charset val="204"/>
      </rPr>
      <t>); установка</t>
    </r>
    <r>
      <rPr>
        <sz val="10"/>
        <color theme="1"/>
        <rFont val="Consolas"/>
        <family val="3"/>
        <charset val="204"/>
      </rPr>
      <t xml:space="preserve">/перемонтаж ЯКГ, (включая стоимость ЯКГ), устройство молниеотвода/заземления опоры связи (включая стоимость молниеотвода/заземления), установка/перемонтаж кабельной площадки, (включая стоимость кабельной площадки),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кабеля на стену; прокладка по стене; ввод кабеля в здание с пробивкой и заделкой технологических отверстий при необходимости. Внутриобъектовые работы: монтаж кабельростов, кроссов и стоек для их крепления; оконечивание кабеля с обеих сторон. Проведение  всех измерений , включая входной контроль кабеля. Оформление разрешительных документов и исполнительной документации. </t>
    </r>
    <r>
      <rPr>
        <b/>
        <sz val="10"/>
        <color rgb="FF0000FF"/>
        <rFont val="Consolas"/>
        <family val="3"/>
        <charset val="204"/>
      </rPr>
      <t>Прокладка кабеля учитывается в протяженности трассы до кросса.</t>
    </r>
  </si>
  <si>
    <r>
      <t xml:space="preserve">СМР: демонтаж, разделка, удаление загрязнений, инвентаризация существующих сварок, разварка волокон </t>
    </r>
    <r>
      <rPr>
        <sz val="10"/>
        <color rgb="FFFF0000"/>
        <rFont val="Consolas"/>
        <family val="3"/>
        <charset val="204"/>
      </rPr>
      <t>(до 16 ОВ)</t>
    </r>
    <r>
      <rPr>
        <sz val="10"/>
        <color theme="1"/>
        <rFont val="Consolas"/>
        <family val="3"/>
        <charset val="204"/>
      </rPr>
      <t xml:space="preserve">, реконфигурация схемы разварки, замена корпуса муфты и комплектующих, сборка, герметизация, включая стоимость основных и расходных материалов, транспортные и все прочие расходы. Паспортизация (не ограничиваясь перечисленным: в электронном виде, Excel-формат для рефлектограмм, протоколы, схемы разварки).
</t>
    </r>
    <r>
      <rPr>
        <b/>
        <sz val="10"/>
        <color rgb="FF0000FF"/>
        <rFont val="Consolas"/>
        <family val="3"/>
        <charset val="204"/>
      </rPr>
      <t xml:space="preserve">При разварке </t>
    </r>
    <r>
      <rPr>
        <b/>
        <sz val="10"/>
        <color rgb="FFFF0000"/>
        <rFont val="Consolas"/>
        <family val="3"/>
        <charset val="204"/>
      </rPr>
      <t>свыше 16 ОВ</t>
    </r>
    <r>
      <rPr>
        <b/>
        <sz val="10"/>
        <color rgb="FF0000FF"/>
        <rFont val="Consolas"/>
        <family val="3"/>
        <charset val="204"/>
      </rPr>
      <t xml:space="preserve"> дополнительно применяется расценка 6.24.</t>
    </r>
  </si>
  <si>
    <r>
      <t xml:space="preserve">ёмкостью </t>
    </r>
    <r>
      <rPr>
        <b/>
        <sz val="10"/>
        <color rgb="FFFF0000"/>
        <rFont val="Consolas"/>
        <family val="3"/>
        <charset val="204"/>
      </rPr>
      <t xml:space="preserve">10 - </t>
    </r>
    <r>
      <rPr>
        <sz val="10"/>
        <color rgb="FFFF0000"/>
        <rFont val="Consolas"/>
        <family val="3"/>
        <charset val="204"/>
      </rPr>
      <t>100</t>
    </r>
    <r>
      <rPr>
        <sz val="10"/>
        <rFont val="Consolas"/>
        <family val="3"/>
        <charset val="204"/>
      </rPr>
      <t xml:space="preserve"> пар</t>
    </r>
  </si>
  <si>
    <r>
      <t xml:space="preserve">ёмкостью </t>
    </r>
    <r>
      <rPr>
        <b/>
        <sz val="10"/>
        <color rgb="FFFF0000"/>
        <rFont val="Consolas"/>
        <family val="3"/>
        <charset val="204"/>
      </rPr>
      <t>200 - 300</t>
    </r>
    <r>
      <rPr>
        <sz val="10"/>
        <rFont val="Consolas"/>
        <family val="3"/>
        <charset val="204"/>
      </rPr>
      <t xml:space="preserve"> пар</t>
    </r>
  </si>
  <si>
    <r>
      <t xml:space="preserve">ёмкостью </t>
    </r>
    <r>
      <rPr>
        <b/>
        <sz val="10"/>
        <color rgb="FFFF0000"/>
        <rFont val="Consolas"/>
        <family val="3"/>
        <charset val="204"/>
      </rPr>
      <t>400 - 600</t>
    </r>
    <r>
      <rPr>
        <sz val="10"/>
        <rFont val="Consolas"/>
        <family val="3"/>
        <charset val="204"/>
      </rPr>
      <t xml:space="preserve"> пар</t>
    </r>
  </si>
  <si>
    <r>
      <t xml:space="preserve">ёмкостью </t>
    </r>
    <r>
      <rPr>
        <b/>
        <sz val="10"/>
        <color rgb="FFFF0000"/>
        <rFont val="Consolas"/>
        <family val="3"/>
        <charset val="204"/>
      </rPr>
      <t>10 - 100</t>
    </r>
    <r>
      <rPr>
        <sz val="10"/>
        <rFont val="Consolas"/>
        <family val="3"/>
        <charset val="204"/>
      </rPr>
      <t xml:space="preserve"> пар</t>
    </r>
  </si>
  <si>
    <r>
      <t xml:space="preserve">Демонтаж ВОК </t>
    </r>
    <r>
      <rPr>
        <b/>
        <sz val="10"/>
        <color rgb="FF0000FF"/>
        <rFont val="Consolas"/>
        <family val="3"/>
        <charset val="204"/>
      </rPr>
      <t>любой емкости</t>
    </r>
    <r>
      <rPr>
        <b/>
        <sz val="10"/>
        <color rgb="FFFF0000"/>
        <rFont val="Consolas"/>
        <family val="3"/>
        <charset val="204"/>
      </rPr>
      <t xml:space="preserve"> </t>
    </r>
    <r>
      <rPr>
        <b/>
        <u/>
        <sz val="10"/>
        <color rgb="FF0000FF"/>
        <rFont val="Consolas"/>
        <family val="3"/>
        <charset val="204"/>
      </rPr>
      <t>из кабельной канализации</t>
    </r>
    <r>
      <rPr>
        <sz val="10"/>
        <rFont val="Consolas"/>
        <family val="3"/>
        <charset val="204"/>
      </rPr>
      <t>, включая демонтаж внутри объекта (до кросса включительно):</t>
    </r>
  </si>
  <si>
    <r>
      <t xml:space="preserve">Демонтаж ВОК </t>
    </r>
    <r>
      <rPr>
        <b/>
        <sz val="10"/>
        <color rgb="FF0000FF"/>
        <rFont val="Consolas"/>
        <family val="3"/>
        <charset val="204"/>
      </rPr>
      <t>любой емкости</t>
    </r>
    <r>
      <rPr>
        <sz val="10"/>
        <color rgb="FF0000FF"/>
        <rFont val="Consolas"/>
        <family val="3"/>
        <charset val="204"/>
      </rPr>
      <t xml:space="preserve"> </t>
    </r>
    <r>
      <rPr>
        <b/>
        <u/>
        <sz val="10"/>
        <color rgb="FF0000FF"/>
        <rFont val="Consolas"/>
        <family val="3"/>
        <charset val="204"/>
      </rPr>
      <t>с опор</t>
    </r>
    <r>
      <rPr>
        <sz val="10"/>
        <rFont val="Consolas"/>
        <family val="3"/>
        <charset val="204"/>
      </rPr>
      <t>,  включая демонтаж внутри объекта (до кросса включительно):</t>
    </r>
  </si>
  <si>
    <r>
      <t>Демонтаж медного кабеля</t>
    </r>
    <r>
      <rPr>
        <sz val="10"/>
        <color rgb="FF0000FF"/>
        <rFont val="Consolas"/>
        <family val="3"/>
        <charset val="204"/>
      </rPr>
      <t xml:space="preserve"> </t>
    </r>
    <r>
      <rPr>
        <b/>
        <sz val="10"/>
        <color rgb="FF0000FF"/>
        <rFont val="Consolas"/>
        <family val="3"/>
        <charset val="204"/>
      </rPr>
      <t>всех типов</t>
    </r>
    <r>
      <rPr>
        <sz val="10"/>
        <color rgb="FF0000FF"/>
        <rFont val="Consolas"/>
        <family val="3"/>
        <charset val="204"/>
      </rPr>
      <t xml:space="preserve"> </t>
    </r>
    <r>
      <rPr>
        <b/>
        <u/>
        <sz val="10"/>
        <color rgb="FF0000FF"/>
        <rFont val="Consolas"/>
        <family val="3"/>
        <charset val="204"/>
      </rPr>
      <t>из кабельной канализации</t>
    </r>
    <r>
      <rPr>
        <sz val="10"/>
        <rFont val="Consolas"/>
        <family val="3"/>
        <charset val="204"/>
      </rPr>
      <t>,   включая демонтаж внутри объекта (до кросса включительно), емкость кабеля (включительно):</t>
    </r>
  </si>
  <si>
    <r>
      <t xml:space="preserve">Демонтаж медного кабеля </t>
    </r>
    <r>
      <rPr>
        <b/>
        <sz val="10"/>
        <color rgb="FF0000FF"/>
        <rFont val="Consolas"/>
        <family val="3"/>
        <charset val="204"/>
      </rPr>
      <t>всех типов</t>
    </r>
    <r>
      <rPr>
        <sz val="10"/>
        <rFont val="Consolas"/>
        <family val="3"/>
        <charset val="204"/>
      </rPr>
      <t xml:space="preserve"> </t>
    </r>
    <r>
      <rPr>
        <b/>
        <u/>
        <sz val="10"/>
        <color rgb="FF0000FF"/>
        <rFont val="Consolas"/>
        <family val="3"/>
        <charset val="204"/>
      </rPr>
      <t>из грунта</t>
    </r>
    <r>
      <rPr>
        <sz val="10"/>
        <rFont val="Consolas"/>
        <family val="3"/>
        <charset val="204"/>
      </rPr>
      <t xml:space="preserve">, включая демонтаж внутри объекта (до кросса включительно), емкость кабеля (включительно): </t>
    </r>
  </si>
  <si>
    <r>
      <t xml:space="preserve">Демонтаж медного кабеля  </t>
    </r>
    <r>
      <rPr>
        <b/>
        <sz val="10"/>
        <color rgb="FF0000FF"/>
        <rFont val="Consolas"/>
        <family val="3"/>
        <charset val="204"/>
      </rPr>
      <t>всех типов</t>
    </r>
    <r>
      <rPr>
        <sz val="10"/>
        <rFont val="Consolas"/>
        <family val="3"/>
        <charset val="204"/>
      </rPr>
      <t xml:space="preserve"> </t>
    </r>
    <r>
      <rPr>
        <b/>
        <u/>
        <sz val="10"/>
        <color rgb="FF0000FF"/>
        <rFont val="Consolas"/>
        <family val="3"/>
        <charset val="204"/>
      </rPr>
      <t>с опор</t>
    </r>
    <r>
      <rPr>
        <sz val="10"/>
        <rFont val="Consolas"/>
        <family val="3"/>
        <charset val="204"/>
      </rPr>
      <t>,  включая демонтаж внутри объекта (до кросса включительно), емкость кабеля (включительно):</t>
    </r>
  </si>
  <si>
    <r>
      <rPr>
        <b/>
        <sz val="14"/>
        <color rgb="FF0000FF"/>
        <rFont val="Consolas"/>
        <family val="3"/>
        <charset val="204"/>
      </rPr>
      <t>Примечание:</t>
    </r>
    <r>
      <rPr>
        <b/>
        <sz val="12"/>
        <color rgb="FFFF0000"/>
        <rFont val="Consolas"/>
        <family val="3"/>
        <charset val="204"/>
      </rPr>
      <t xml:space="preserve">
</t>
    </r>
    <r>
      <rPr>
        <b/>
        <sz val="12"/>
        <color theme="1"/>
        <rFont val="Consolas"/>
        <family val="3"/>
        <charset val="204"/>
      </rPr>
      <t>В каждый из указанных выше видов Работ в т.ч. входят:
1. Затраты на получение/оформление согласований, разрешений на производство работ и технических условий у сторонних организаций (физ/юр лиц), необходимых для проведения работ по прокладке кабеля и строительству кабельной инфраструктуры;
2. Затраты на проведение проектно-изыскательских работ и подготовку рабочей документации;
3. затраты на подготовку и согласование у сторонних организаций комплекта исполнительной документации в соответствии по построенным ЛКС и объектам строительства;
4. протяженность по работам, указанным в пп. 4.2-4.3; 4.7-4.9  учитывается  по общей протяженности кабельной линии в Заказе;
5. величина стоимости кабеля с учётом ТЗР носит справочный характер и используется для исключения из Удельной стоимости за единицу в случае принятия решения об использовании давальческого кабеля РФ/МРФ.</t>
    </r>
  </si>
  <si>
    <t xml:space="preserve">Стоимость строительства кабельной канализации  из полиэтиленовых труб рассчитана для труб Д=110 мм. В случае строительства кабельной канализации с применением труб Д=63 мм  применять понижающий коэффициент к= 0,94 </t>
  </si>
  <si>
    <r>
      <t xml:space="preserve">Строительство </t>
    </r>
    <r>
      <rPr>
        <b/>
        <sz val="10"/>
        <color rgb="FFFF0000"/>
        <rFont val="Consolas"/>
        <family val="3"/>
        <charset val="204"/>
      </rPr>
      <t>2-х канальной</t>
    </r>
    <r>
      <rPr>
        <sz val="10"/>
        <rFont val="Consolas"/>
        <family val="3"/>
        <charset val="204"/>
      </rPr>
      <t xml:space="preserve"> кабельной  канализации из асбестоцементных /полиэтиленовых труб, с установкой колодцев.</t>
    </r>
  </si>
  <si>
    <r>
      <t xml:space="preserve">ПИР, СМР включая стоимость материалов, установки колодцев ККС (с учетом стоимости колодца, из расчета 1 колодец  на 0,08 км. трассы, оснастки, люков, труб и комплектующих), засыпки и выравнивание грунта. Оформление разрешительных документов и исполнительной документации (в том числе топографо-геодезические работы, с нанесением на городской планшет исполнительной сьёмки, землеустроительные работы).
</t>
    </r>
    <r>
      <rPr>
        <b/>
        <sz val="10"/>
        <color rgb="FF0000FF"/>
        <rFont val="Consolas"/>
        <family val="3"/>
        <charset val="204"/>
      </rPr>
      <t>Работы по восстановлению газонных покрытий, тротуаров, брусчатки, проезжей части, производятся отдельно по расценкам 5.15-5.18.</t>
    </r>
  </si>
  <si>
    <r>
      <t>Докладка каждого дополнительного канала кабельной канализации</t>
    </r>
    <r>
      <rPr>
        <b/>
        <sz val="10"/>
        <color rgb="FF0000FF"/>
        <rFont val="Consolas"/>
        <family val="3"/>
        <charset val="204"/>
      </rPr>
      <t xml:space="preserve"> в период строительства</t>
    </r>
  </si>
  <si>
    <r>
      <t xml:space="preserve">ПИР, СМР, включая стоимость материалов, засыпки и выравнивание грунта. Оформление разрешительных документов и исполнительной документации (в том числе топографо-геодезические работы, с нанесением на городской планшет исполнительной сьёмки, землеустроительные работы).  Без учёта стоимости монтажа/перебивки колодцев.
</t>
    </r>
    <r>
      <rPr>
        <b/>
        <sz val="10"/>
        <color rgb="FF0000FF"/>
        <rFont val="Consolas"/>
        <family val="3"/>
        <charset val="204"/>
      </rPr>
      <t>Работы по восстановлению газонных покрытий, тротуаров, брусчатки, проезжей части, производятся отдельно по расценкам 5.15-5.18.</t>
    </r>
  </si>
  <si>
    <r>
      <t xml:space="preserve">ПИР, СМР, включая стоимость материалов, засыпки и выравнивание грунта, оформление разрешительных документов и исполнительной документации. Без учёта стоимости монтажа/перебивки колодцев.
</t>
    </r>
    <r>
      <rPr>
        <b/>
        <sz val="10"/>
        <color rgb="FF0000FF"/>
        <rFont val="Consolas"/>
        <family val="3"/>
        <charset val="204"/>
      </rPr>
      <t>Работы по восстановлению газонных покрытий, тротуаров, брусчатки, проезжей части, производятся отдельно по расценкам 5.15-5.18.</t>
    </r>
  </si>
  <si>
    <r>
      <t>Выполнение переходов методом горизонтального направленного бурения (ГНБ) с прокладкой</t>
    </r>
    <r>
      <rPr>
        <b/>
        <sz val="10"/>
        <color rgb="FFFF0000"/>
        <rFont val="Consolas"/>
        <family val="3"/>
        <charset val="204"/>
      </rPr>
      <t xml:space="preserve"> 2-х </t>
    </r>
    <r>
      <rPr>
        <sz val="10"/>
        <rFont val="Consolas"/>
        <family val="3"/>
        <charset val="204"/>
      </rPr>
      <t xml:space="preserve">п/э труб диаметром </t>
    </r>
    <r>
      <rPr>
        <b/>
        <sz val="10"/>
        <rFont val="Consolas"/>
        <family val="3"/>
        <charset val="204"/>
      </rPr>
      <t xml:space="preserve">не менее </t>
    </r>
    <r>
      <rPr>
        <b/>
        <sz val="10"/>
        <color rgb="FFFF0000"/>
        <rFont val="Consolas"/>
        <family val="3"/>
        <charset val="204"/>
      </rPr>
      <t xml:space="preserve">63 мм </t>
    </r>
  </si>
  <si>
    <r>
      <t xml:space="preserve">в грунтах групп </t>
    </r>
    <r>
      <rPr>
        <b/>
        <sz val="10"/>
        <color rgb="FFFF0000"/>
        <rFont val="Consolas"/>
        <family val="3"/>
        <charset val="204"/>
      </rPr>
      <t>1-3</t>
    </r>
  </si>
  <si>
    <r>
      <t xml:space="preserve">в грунтах групп </t>
    </r>
    <r>
      <rPr>
        <b/>
        <sz val="10"/>
        <color rgb="FFFF0000"/>
        <rFont val="Consolas"/>
        <family val="3"/>
        <charset val="204"/>
      </rPr>
      <t>4-6</t>
    </r>
  </si>
  <si>
    <r>
      <t>Выполнение переходов методом горизонтального направленного бурения (ГНБ) / горизонтально направленного прокола (ГНП) с прокладкой</t>
    </r>
    <r>
      <rPr>
        <b/>
        <sz val="10"/>
        <color rgb="FFFF0000"/>
        <rFont val="Consolas"/>
        <family val="3"/>
        <charset val="204"/>
      </rPr>
      <t xml:space="preserve"> 1-й</t>
    </r>
    <r>
      <rPr>
        <sz val="10"/>
        <rFont val="Consolas"/>
        <family val="3"/>
        <charset val="204"/>
      </rPr>
      <t xml:space="preserve">  п/э  трубы </t>
    </r>
  </si>
  <si>
    <r>
      <t xml:space="preserve">п/э  труба диаметром </t>
    </r>
    <r>
      <rPr>
        <b/>
        <sz val="10"/>
        <color rgb="FFFF0000"/>
        <rFont val="Consolas"/>
        <family val="3"/>
        <charset val="204"/>
      </rPr>
      <t>63 мм</t>
    </r>
  </si>
  <si>
    <r>
      <t xml:space="preserve">п/э  труба диаметром </t>
    </r>
    <r>
      <rPr>
        <b/>
        <sz val="10"/>
        <color rgb="FFFF0000"/>
        <rFont val="Consolas"/>
        <family val="3"/>
        <charset val="204"/>
      </rPr>
      <t>110 мм</t>
    </r>
  </si>
  <si>
    <r>
      <t xml:space="preserve">Установка колодца типа </t>
    </r>
    <r>
      <rPr>
        <b/>
        <sz val="10"/>
        <color rgb="FFFF0000"/>
        <rFont val="Consolas"/>
        <family val="3"/>
        <charset val="204"/>
      </rPr>
      <t>ККС-2</t>
    </r>
    <r>
      <rPr>
        <sz val="10"/>
        <color theme="1"/>
        <rFont val="Consolas"/>
        <family val="3"/>
        <charset val="204"/>
      </rPr>
      <t>, в том числе при организации участка ГНБ и на существующей кабельной канализации</t>
    </r>
  </si>
  <si>
    <r>
      <t xml:space="preserve">Установка колодца типа </t>
    </r>
    <r>
      <rPr>
        <b/>
        <sz val="10"/>
        <color rgb="FFFF0000"/>
        <rFont val="Consolas"/>
        <family val="3"/>
        <charset val="204"/>
      </rPr>
      <t>ККС-3</t>
    </r>
    <r>
      <rPr>
        <sz val="10"/>
        <color theme="1"/>
        <rFont val="Consolas"/>
        <family val="3"/>
        <charset val="204"/>
      </rPr>
      <t>,  в том числе при организации участка ГНБ и на существующей кабельной канализации</t>
    </r>
  </si>
  <si>
    <r>
      <t xml:space="preserve">Установка колодца типа </t>
    </r>
    <r>
      <rPr>
        <b/>
        <sz val="10"/>
        <color rgb="FFFF0000"/>
        <rFont val="Consolas"/>
        <family val="3"/>
        <charset val="204"/>
      </rPr>
      <t>ККС-4</t>
    </r>
    <r>
      <rPr>
        <sz val="10"/>
        <color theme="1"/>
        <rFont val="Consolas"/>
        <family val="3"/>
        <charset val="204"/>
      </rPr>
      <t>, в том числе при организации участка ГНБ и на существующей кабельной канализации</t>
    </r>
  </si>
  <si>
    <r>
      <t xml:space="preserve">Установка колодца типа </t>
    </r>
    <r>
      <rPr>
        <b/>
        <sz val="10"/>
        <color rgb="FFFF0000"/>
        <rFont val="Consolas"/>
        <family val="3"/>
        <charset val="204"/>
      </rPr>
      <t>ККС-5</t>
    </r>
    <r>
      <rPr>
        <sz val="10"/>
        <color theme="1"/>
        <rFont val="Consolas"/>
        <family val="3"/>
        <charset val="204"/>
      </rPr>
      <t>,  в том числе при организации участка ГНБ и на существующей кабельной канализации</t>
    </r>
  </si>
  <si>
    <r>
      <t xml:space="preserve">Установка колодца типа </t>
    </r>
    <r>
      <rPr>
        <b/>
        <sz val="10"/>
        <color rgb="FFFF0000"/>
        <rFont val="Consolas"/>
        <family val="3"/>
        <charset val="204"/>
      </rPr>
      <t>ККТМ-1</t>
    </r>
    <r>
      <rPr>
        <sz val="10"/>
        <color theme="1"/>
        <rFont val="Consolas"/>
        <family val="3"/>
        <charset val="204"/>
      </rPr>
      <t>,  в том числе при организации участка ГНБ и на существующей кабельной канализации в сегменте малоэтажной застройки, коттеджных посёлках</t>
    </r>
  </si>
  <si>
    <r>
      <t xml:space="preserve">ПИР, СМР, включая подготовку почвы для устройства партерного и обыкновенного газона с внесением растительной земли слоем </t>
    </r>
    <r>
      <rPr>
        <b/>
        <sz val="10"/>
        <color rgb="FFFF0000"/>
        <rFont val="Consolas"/>
        <family val="3"/>
        <charset val="204"/>
      </rPr>
      <t>15 см</t>
    </r>
    <r>
      <rPr>
        <sz val="10"/>
        <color theme="1"/>
        <rFont val="Consolas"/>
        <family val="3"/>
        <charset val="204"/>
      </rPr>
      <t>, планировку участка, посев газонов партерных, мавританских и обыкновенных.</t>
    </r>
  </si>
  <si>
    <t>Установка/замена опор разных видов,  (одинарная опора, опора с одной подпорой, опора с двумя подпорами, опора с приставкой, подпоры, укосины и т.п.) (полный комплекс работ)</t>
  </si>
  <si>
    <r>
      <t xml:space="preserve">ПИР, СМР, включая стоимость материалов ( асбестоцементные /полиэтиленовые трубы даметром не менее 63 мм, комплектующие), организацию вывода из кабельного колодца и ввода в фундаментном основании, герметизация каналов, восстановление асфальтобетонных покрытий проезжей части, тротуаров и работ по благоустройству, оформление разрешительных документов и исполнительной документации (в том числе с нанесением на городской планшет исполнительной сьемки). Заказ и оплата топосъемок.
</t>
    </r>
    <r>
      <rPr>
        <b/>
        <sz val="10"/>
        <color rgb="FF0000FF"/>
        <rFont val="Consolas"/>
        <family val="3"/>
        <charset val="204"/>
      </rPr>
      <t>Стоимость колодца и монтажа учитывается отдельной расценкой.</t>
    </r>
  </si>
  <si>
    <r>
      <t>Разработка проектной документации  по подвесу кабеля по опорам ЛЭП ВЛ</t>
    </r>
    <r>
      <rPr>
        <b/>
        <sz val="10"/>
        <color rgb="FFFF0000"/>
        <rFont val="Consolas"/>
        <family val="3"/>
        <charset val="204"/>
      </rPr>
      <t xml:space="preserve"> 1-35 кВ</t>
    </r>
    <r>
      <rPr>
        <sz val="10"/>
        <color theme="1"/>
        <rFont val="Consolas"/>
        <family val="3"/>
        <charset val="204"/>
      </rPr>
      <t>, включая проверку и экспертизу опор</t>
    </r>
  </si>
  <si>
    <r>
      <t xml:space="preserve">Устройство кабельного ввода в  здание в фундаментном основании  от существующего колодца (из расчета  </t>
    </r>
    <r>
      <rPr>
        <b/>
        <sz val="10"/>
        <color rgb="FFFF0000"/>
        <rFont val="Consolas"/>
        <family val="3"/>
        <charset val="204"/>
      </rPr>
      <t>до 30 м</t>
    </r>
    <r>
      <rPr>
        <sz val="10"/>
        <color theme="1"/>
        <rFont val="Consolas"/>
        <family val="3"/>
        <charset val="204"/>
      </rPr>
      <t>).
В случае необходимости (</t>
    </r>
    <r>
      <rPr>
        <b/>
        <sz val="10"/>
        <color rgb="FFFF0000"/>
        <rFont val="Consolas"/>
        <family val="3"/>
        <charset val="204"/>
      </rPr>
      <t>более 30 м</t>
    </r>
    <r>
      <rPr>
        <sz val="10"/>
        <color theme="1"/>
        <rFont val="Consolas"/>
        <family val="3"/>
        <charset val="204"/>
      </rPr>
      <t>) канализация достраивается по соответствующим расценкам.</t>
    </r>
  </si>
  <si>
    <t>По требованию Заказчика  примененяется понижающий коэффициент с шагом = 0,3
Не применяется совместно с расценкой 5.25; 5.26</t>
  </si>
  <si>
    <t>По требованию Заказчика  примененяется понижающий коэффициент с шагом = 0,1
Не применяется совместно с расценкой 5.24; 5.26</t>
  </si>
  <si>
    <r>
      <t xml:space="preserve">Устройство кабельного вывода на стену/опору от существующего колодца (из расчета  </t>
    </r>
    <r>
      <rPr>
        <b/>
        <sz val="10"/>
        <color rgb="FFFF0000"/>
        <rFont val="Consolas"/>
        <family val="3"/>
        <charset val="204"/>
      </rPr>
      <t>до 30 м</t>
    </r>
    <r>
      <rPr>
        <sz val="10"/>
        <color theme="1"/>
        <rFont val="Consolas"/>
        <family val="3"/>
        <charset val="204"/>
      </rPr>
      <t>).</t>
    </r>
  </si>
  <si>
    <r>
      <t xml:space="preserve">ПИР, СМР, Прочие затраты: установка телекоммуникационного шкафа с опорной рамой  в грунт (предоставляет Заказчик), устройство фундаментов и отмостки; перевозка шкафа; монтаж шкафа; устройство заземления, приобретение необходимых расходных материалов монтажа и  комплектующих, при необходимости доукомплектацию БКТО, кроссами, плинтами. Оформление разрешительных документов. Выполнение топографо-геодезических работ при предъявлении требования от Заказчика. Оформление исполнительной документации.                                                                                                                              </t>
    </r>
    <r>
      <rPr>
        <b/>
        <sz val="10"/>
        <color rgb="FF0000FF"/>
        <rFont val="Consolas"/>
        <family val="3"/>
        <charset val="204"/>
      </rPr>
      <t>Не включает</t>
    </r>
    <r>
      <rPr>
        <sz val="10"/>
        <color rgb="FF0000FF"/>
        <rFont val="Consolas"/>
        <family val="3"/>
        <charset val="204"/>
      </rPr>
      <t>: стоимость шкафа распределительного с опорной рамой.</t>
    </r>
  </si>
  <si>
    <r>
      <t xml:space="preserve">Монтаж климатического шкафа </t>
    </r>
    <r>
      <rPr>
        <b/>
        <sz val="10"/>
        <color rgb="FF0000FF"/>
        <rFont val="Consolas"/>
        <family val="3"/>
        <charset val="204"/>
      </rPr>
      <t>(Outdoor)</t>
    </r>
    <r>
      <rPr>
        <sz val="10"/>
        <rFont val="Consolas"/>
        <family val="3"/>
        <charset val="204"/>
      </rPr>
      <t xml:space="preserve"> размером </t>
    </r>
    <r>
      <rPr>
        <b/>
        <sz val="10"/>
        <color rgb="FFFF0000"/>
        <rFont val="Consolas"/>
        <family val="3"/>
        <charset val="204"/>
      </rPr>
      <t>от (750х350х1500)</t>
    </r>
  </si>
  <si>
    <r>
      <t xml:space="preserve">Монтаж климатического шкафа </t>
    </r>
    <r>
      <rPr>
        <b/>
        <sz val="10"/>
        <color rgb="FF0000FF"/>
        <rFont val="Consolas"/>
        <family val="3"/>
        <charset val="204"/>
      </rPr>
      <t>(Indoor</t>
    </r>
    <r>
      <rPr>
        <sz val="10"/>
        <rFont val="Consolas"/>
        <family val="3"/>
        <charset val="204"/>
      </rPr>
      <t>) 
размером</t>
    </r>
    <r>
      <rPr>
        <b/>
        <sz val="10"/>
        <color rgb="FFFF0000"/>
        <rFont val="Consolas"/>
        <family val="3"/>
        <charset val="204"/>
      </rPr>
      <t xml:space="preserve"> от (750х350х1500)</t>
    </r>
  </si>
  <si>
    <r>
      <t xml:space="preserve">ПИР, СМР, Прочие затраты, включая стоимость материалов, в том числе и не ограничиваясь перечисленным: земляные работы; устройство фундаментов и отмостки; перевозка шкафа; монтаж шкафа; устройство заземления, электроснабжения, присоединение к электрической сети (прокладка силового кабеля длиной </t>
    </r>
    <r>
      <rPr>
        <b/>
        <sz val="10"/>
        <color rgb="FFFF0000"/>
        <rFont val="Consolas"/>
        <family val="3"/>
        <charset val="204"/>
      </rPr>
      <t>до 50 м</t>
    </r>
    <r>
      <rPr>
        <sz val="10"/>
        <rFont val="Consolas"/>
        <family val="3"/>
        <charset val="204"/>
      </rPr>
      <t xml:space="preserve">, включая работы по прокладке в грунте). Выполнение топографо-геодезических работ при необходимости, оформление разрешительных документов и исполнительной документации.
</t>
    </r>
    <r>
      <rPr>
        <b/>
        <sz val="10"/>
        <color rgb="FF0000FF"/>
        <rFont val="Consolas"/>
        <family val="3"/>
        <charset val="204"/>
      </rPr>
      <t>Не включает</t>
    </r>
    <r>
      <rPr>
        <sz val="10"/>
        <color rgb="FF0000FF"/>
        <rFont val="Consolas"/>
        <family val="3"/>
        <charset val="204"/>
      </rPr>
      <t>: стоимость климатического шкафа в комплекте.</t>
    </r>
  </si>
  <si>
    <r>
      <t xml:space="preserve">ИР, СМР, Прочие затраты, включая стоимость материалов, в том числе и не ограничиваясь перечисленным: в зависимости от места установки осуществляется крепление к стене здания (при необходимости выполняются работы по выравниванию стен), перевозка шкафа; монтаж шкафа; устройство заземления, электроснабжения, присоединение к электрической сети (прокладка силового кабеля длиной </t>
    </r>
    <r>
      <rPr>
        <b/>
        <sz val="10"/>
        <color rgb="FFFF0000"/>
        <rFont val="Consolas"/>
        <family val="3"/>
        <charset val="204"/>
      </rPr>
      <t>до 50м</t>
    </r>
    <r>
      <rPr>
        <sz val="10"/>
        <rFont val="Consolas"/>
        <family val="3"/>
        <charset val="204"/>
      </rPr>
      <t xml:space="preserve">). Оформление разрешительных документов и исполнительной документации.
</t>
    </r>
    <r>
      <rPr>
        <b/>
        <sz val="10"/>
        <color rgb="FF0000FF"/>
        <rFont val="Consolas"/>
        <family val="3"/>
        <charset val="204"/>
      </rPr>
      <t>Не включает: стоимость климатического шкафа в комплекте.</t>
    </r>
  </si>
  <si>
    <r>
      <t xml:space="preserve">ПИР, СМР, Прочие затраты, включая стоимость материалов, в том числе и не ограничиваясь перечисленным: перевозка шкафа; монтаж шкафа; устройство заземления, электроснабжения, присоединение к электрической сети (прокладка силового кабеля длиной до 20м). Оформление разрешительных документов и исполнительной документации.
</t>
    </r>
    <r>
      <rPr>
        <b/>
        <sz val="10"/>
        <color rgb="FF0000FF"/>
        <rFont val="Consolas"/>
        <family val="3"/>
        <charset val="204"/>
      </rPr>
      <t>Не включает</t>
    </r>
    <r>
      <rPr>
        <sz val="10"/>
        <color rgb="FF0000FF"/>
        <rFont val="Consolas"/>
        <family val="3"/>
        <charset val="204"/>
      </rPr>
      <t>: стоимость установки опоры, стоимость климатического шкафа в комплекте.</t>
    </r>
  </si>
  <si>
    <r>
      <t xml:space="preserve">ПИР, СМР, Прочие затраты, включая стоимость материалов, в том числе и не ограничиваясь перечисленным: земляные работы; устройство фундаментов и отмостки; перевозка контейнера; монтаж контейнера; монтаж ВРУ; устройство заземления; электроснабжение; установка сплит-системы; присоединение к электрической сети (прокладка силового кабеля длиной до 50м, включая работы по прокладке в грунте). Выполнение топографо-геодезических работ при необходимости, оформление разрешительных документов и исполнительной документации  (в том числе топографо-геодезические работы, землеустроительные работы).
</t>
    </r>
    <r>
      <rPr>
        <b/>
        <sz val="10"/>
        <color rgb="FF0000FF"/>
        <rFont val="Consolas"/>
        <family val="3"/>
        <charset val="204"/>
      </rPr>
      <t>Не включает</t>
    </r>
    <r>
      <rPr>
        <sz val="10"/>
        <color rgb="FF0000FF"/>
        <rFont val="Consolas"/>
        <family val="3"/>
        <charset val="204"/>
      </rPr>
      <t>: стоимость контейнера в комплекте.</t>
    </r>
  </si>
  <si>
    <t>Раздел 6. Внутриобъектовые/объектовые работы 
(Работы не зависимо от % проникновения, включая работы при модернизации сети)</t>
  </si>
  <si>
    <r>
      <t>ПИР, СМР (включая стоимость материалов, сопутствующих работ,</t>
    </r>
    <r>
      <rPr>
        <b/>
        <sz val="10"/>
        <color theme="1"/>
        <rFont val="Consolas"/>
        <family val="3"/>
        <charset val="204"/>
      </rPr>
      <t xml:space="preserve"> </t>
    </r>
    <r>
      <rPr>
        <sz val="10"/>
        <color theme="1"/>
        <rFont val="Consolas"/>
        <family val="3"/>
        <charset val="204"/>
      </rPr>
      <t xml:space="preserve">герметизация стоп-огонь). Оформление исполнительной документации. </t>
    </r>
  </si>
  <si>
    <r>
      <t xml:space="preserve">Монтаж кабельных лотков потолочного/настенного типа, включая работы по установке узлов крепления, фурнитуры, поворотных элементов, сопутствующих работ, заземления (при необходимости), </t>
    </r>
    <r>
      <rPr>
        <b/>
        <sz val="10"/>
        <color theme="1"/>
        <rFont val="Consolas"/>
        <family val="3"/>
        <charset val="204"/>
      </rPr>
      <t>стоимость основных и  крепежных материалов.</t>
    </r>
  </si>
  <si>
    <r>
      <t xml:space="preserve"> Прокладка и монтаж многопарного передаточного кабеля "витая пара" </t>
    </r>
    <r>
      <rPr>
        <b/>
        <sz val="10"/>
        <color rgb="FF0000FF"/>
        <rFont val="Consolas"/>
        <family val="3"/>
        <charset val="204"/>
      </rPr>
      <t xml:space="preserve">Cat 5е </t>
    </r>
    <r>
      <rPr>
        <sz val="10"/>
        <rFont val="Consolas"/>
        <family val="3"/>
        <charset val="204"/>
      </rPr>
      <t xml:space="preserve">ёмкостью </t>
    </r>
    <r>
      <rPr>
        <b/>
        <sz val="10"/>
        <color rgb="FFFF0000"/>
        <rFont val="Consolas"/>
        <family val="3"/>
        <charset val="204"/>
      </rPr>
      <t>до 10 пар</t>
    </r>
    <r>
      <rPr>
        <sz val="10"/>
        <rFont val="Consolas"/>
        <family val="3"/>
        <charset val="204"/>
      </rPr>
      <t xml:space="preserve"> от существующего УД до подъезда</t>
    </r>
    <r>
      <rPr>
        <sz val="10"/>
        <color rgb="FF0000FF"/>
        <rFont val="Consolas"/>
        <family val="3"/>
        <charset val="204"/>
      </rPr>
      <t xml:space="preserve"> </t>
    </r>
  </si>
  <si>
    <r>
      <t xml:space="preserve">Прокладка стальных труб диаметром </t>
    </r>
    <r>
      <rPr>
        <b/>
        <sz val="10"/>
        <color rgb="FFFF0000"/>
        <rFont val="Consolas"/>
        <family val="3"/>
        <charset val="204"/>
      </rPr>
      <t>60 мм</t>
    </r>
  </si>
  <si>
    <r>
      <t>Прокладка и монтаж многопарного передаточного кабеля "витая пара"</t>
    </r>
    <r>
      <rPr>
        <b/>
        <sz val="10"/>
        <color rgb="FF0000FF"/>
        <rFont val="Consolas"/>
        <family val="3"/>
        <charset val="204"/>
      </rPr>
      <t xml:space="preserve"> Cat 5е</t>
    </r>
    <r>
      <rPr>
        <sz val="10"/>
        <rFont val="Consolas"/>
        <family val="3"/>
        <charset val="204"/>
      </rPr>
      <t xml:space="preserve"> ёмкостью </t>
    </r>
    <r>
      <rPr>
        <b/>
        <sz val="10"/>
        <color rgb="FFFF0000"/>
        <rFont val="Consolas"/>
        <family val="3"/>
        <charset val="204"/>
      </rPr>
      <t>до 25 пар</t>
    </r>
    <r>
      <rPr>
        <sz val="10"/>
        <rFont val="Consolas"/>
        <family val="3"/>
        <charset val="204"/>
      </rPr>
      <t xml:space="preserve"> от существующего УД до подъезда</t>
    </r>
  </si>
  <si>
    <r>
      <t xml:space="preserve">Прокладка и монтаж многопарного передаточного кабеля "витая пара" </t>
    </r>
    <r>
      <rPr>
        <b/>
        <sz val="10"/>
        <color rgb="FF0000FF"/>
        <rFont val="Consolas"/>
        <family val="3"/>
        <charset val="204"/>
      </rPr>
      <t>Cat 5е</t>
    </r>
    <r>
      <rPr>
        <b/>
        <sz val="10"/>
        <color rgb="FFFF0000"/>
        <rFont val="Consolas"/>
        <family val="3"/>
        <charset val="204"/>
      </rPr>
      <t xml:space="preserve"> до 50 пар</t>
    </r>
    <r>
      <rPr>
        <sz val="10"/>
        <color theme="1"/>
        <rFont val="Consolas"/>
        <family val="3"/>
        <charset val="204"/>
      </rPr>
      <t xml:space="preserve"> включительно </t>
    </r>
  </si>
  <si>
    <r>
      <t>Алмазное сверление/бурение перекрытий диаметром</t>
    </r>
    <r>
      <rPr>
        <b/>
        <sz val="10"/>
        <color rgb="FFFF0000"/>
        <rFont val="Consolas"/>
        <family val="3"/>
        <charset val="204"/>
      </rPr>
      <t xml:space="preserve"> до 50 мм</t>
    </r>
  </si>
  <si>
    <r>
      <t xml:space="preserve">ПИР, СМР  включая стоимость материалов (с учетом  технологических, монтажных запасов кабеля),  проведение  всех измерений, включая входной контроль кабеля. установку делителей, ответвителей, с учетом стоимости всех материалов, установку и настройку активного оборудования (в т.ч. коммутация на стороне головной станции), прочие, оформление разрешительных документов, исполнительной документации. </t>
    </r>
    <r>
      <rPr>
        <b/>
        <sz val="10"/>
        <color rgb="FF0000FF"/>
        <rFont val="Consolas"/>
        <family val="3"/>
        <charset val="204"/>
      </rPr>
      <t xml:space="preserve">Не включает стоимость активного оборудования, стоимость и монтаж шкафа. </t>
    </r>
  </si>
  <si>
    <r>
      <t xml:space="preserve">ПИР, СМР,  с учетом  стоимости кабеля и материалов, стоек, кабельканалов, кроссов; установки муфт со сваркой волокон (включая стоимость ВОК, муфт); прокладки по стене; устройство отверстий в стенах, защиту кабеля в опасных местах, внутриобъектовые работ; монтажа кабельканалов, кроссов и стоек для их крепления; оконечивания кабеля;  проведение  всех измерений ВОК. Включая входной контроль кабеля. Оформлением разрешительных документов и исполнительной документации. </t>
    </r>
    <r>
      <rPr>
        <b/>
        <sz val="10"/>
        <color rgb="FF0000FF"/>
        <rFont val="Consolas"/>
        <family val="3"/>
        <charset val="204"/>
      </rPr>
      <t xml:space="preserve">Не включает стоимость ОРК. </t>
    </r>
  </si>
  <si>
    <r>
      <t xml:space="preserve">ВОК </t>
    </r>
    <r>
      <rPr>
        <b/>
        <sz val="10"/>
        <color rgb="FFFF0000"/>
        <rFont val="Consolas"/>
        <family val="3"/>
        <charset val="204"/>
      </rPr>
      <t>до 8</t>
    </r>
    <r>
      <rPr>
        <sz val="10"/>
        <color theme="1"/>
        <rFont val="Consolas"/>
        <family val="3"/>
        <charset val="204"/>
      </rPr>
      <t xml:space="preserve"> волокон включительно</t>
    </r>
  </si>
  <si>
    <r>
      <t xml:space="preserve">ВОК </t>
    </r>
    <r>
      <rPr>
        <b/>
        <sz val="10"/>
        <color rgb="FFFF0000"/>
        <rFont val="Consolas"/>
        <family val="3"/>
        <charset val="204"/>
      </rPr>
      <t xml:space="preserve">от 8 до 12 </t>
    </r>
    <r>
      <rPr>
        <sz val="10"/>
        <color theme="1"/>
        <rFont val="Consolas"/>
        <family val="3"/>
        <charset val="204"/>
      </rPr>
      <t>волокон включительно</t>
    </r>
  </si>
  <si>
    <r>
      <t xml:space="preserve">ВОК </t>
    </r>
    <r>
      <rPr>
        <b/>
        <sz val="10"/>
        <color rgb="FFFF0000"/>
        <rFont val="Consolas"/>
        <family val="3"/>
        <charset val="204"/>
      </rPr>
      <t>от 12 до 16</t>
    </r>
    <r>
      <rPr>
        <sz val="10"/>
        <color theme="1"/>
        <rFont val="Consolas"/>
        <family val="3"/>
        <charset val="204"/>
      </rPr>
      <t xml:space="preserve"> волокон включительно</t>
    </r>
  </si>
  <si>
    <r>
      <t xml:space="preserve">ВОК </t>
    </r>
    <r>
      <rPr>
        <b/>
        <sz val="10"/>
        <color rgb="FFFF0000"/>
        <rFont val="Consolas"/>
        <family val="3"/>
        <charset val="204"/>
      </rPr>
      <t>от 16 до 24</t>
    </r>
    <r>
      <rPr>
        <sz val="10"/>
        <color theme="1"/>
        <rFont val="Consolas"/>
        <family val="3"/>
        <charset val="204"/>
      </rPr>
      <t xml:space="preserve"> волокон включительно</t>
    </r>
  </si>
  <si>
    <r>
      <t xml:space="preserve">ВОК </t>
    </r>
    <r>
      <rPr>
        <b/>
        <sz val="10"/>
        <color rgb="FFFF0000"/>
        <rFont val="Consolas"/>
        <family val="3"/>
        <charset val="204"/>
      </rPr>
      <t>от 24 до 32</t>
    </r>
    <r>
      <rPr>
        <sz val="10"/>
        <color theme="1"/>
        <rFont val="Consolas"/>
        <family val="3"/>
        <charset val="204"/>
      </rPr>
      <t xml:space="preserve"> волокон включительно</t>
    </r>
  </si>
  <si>
    <r>
      <t xml:space="preserve">ПИР, СМР,  с учетом  стоимости вспомогательных материалов </t>
    </r>
    <r>
      <rPr>
        <b/>
        <sz val="10"/>
        <color rgb="FF0000FF"/>
        <rFont val="Consolas"/>
        <family val="3"/>
        <charset val="204"/>
      </rPr>
      <t>(без учёта стоимости ОРК)</t>
    </r>
    <r>
      <rPr>
        <sz val="10"/>
        <color theme="1"/>
        <rFont val="Consolas"/>
        <family val="3"/>
        <charset val="204"/>
      </rPr>
      <t>. Оформлением разрешительных документов и исполнительной документации.</t>
    </r>
  </si>
  <si>
    <r>
      <t xml:space="preserve">ПИР, СМР, </t>
    </r>
    <r>
      <rPr>
        <b/>
        <sz val="10"/>
        <color rgb="FF0000FF"/>
        <rFont val="Consolas"/>
        <family val="3"/>
        <charset val="204"/>
      </rPr>
      <t>без учёта стоимости сплиттера 2-го каскада (УСМ)</t>
    </r>
    <r>
      <rPr>
        <sz val="10"/>
        <color theme="1"/>
        <rFont val="Consolas"/>
        <family val="3"/>
        <charset val="204"/>
      </rPr>
      <t>. Оформление разрешительных документов и исполнительной документации.</t>
    </r>
  </si>
  <si>
    <r>
      <t xml:space="preserve">Установка/замена шкафа  ОРШ </t>
    </r>
    <r>
      <rPr>
        <b/>
        <sz val="10"/>
        <color rgb="FFFF0000"/>
        <rFont val="Consolas"/>
        <family val="3"/>
        <charset val="204"/>
      </rPr>
      <t>от 64 до 128</t>
    </r>
    <r>
      <rPr>
        <sz val="10"/>
        <color theme="1"/>
        <rFont val="Consolas"/>
        <family val="3"/>
        <charset val="204"/>
      </rPr>
      <t xml:space="preserve"> абонентов PON (включительно)</t>
    </r>
  </si>
  <si>
    <r>
      <t xml:space="preserve">Установка/замена шкафа  ОРШ </t>
    </r>
    <r>
      <rPr>
        <b/>
        <sz val="10"/>
        <color rgb="FFFF0000"/>
        <rFont val="Consolas"/>
        <family val="3"/>
        <charset val="204"/>
      </rPr>
      <t xml:space="preserve">от 128 до 256 </t>
    </r>
    <r>
      <rPr>
        <sz val="10"/>
        <color theme="1"/>
        <rFont val="Consolas"/>
        <family val="3"/>
        <charset val="204"/>
      </rPr>
      <t>абонентов PON (включительно)</t>
    </r>
  </si>
  <si>
    <r>
      <t xml:space="preserve">Установка и монтаж сплиттера первого каскада, расключение, включая стоимость сплиттера </t>
    </r>
    <r>
      <rPr>
        <b/>
        <sz val="10"/>
        <color rgb="FFFF0000"/>
        <rFont val="Consolas"/>
        <family val="3"/>
        <charset val="204"/>
      </rPr>
      <t>1*8</t>
    </r>
  </si>
  <si>
    <r>
      <t xml:space="preserve">Установка и монтаж сплиттера первого каскада, расключение, включая стоимость сплиттера </t>
    </r>
    <r>
      <rPr>
        <b/>
        <sz val="10"/>
        <color rgb="FFFF0000"/>
        <rFont val="Consolas"/>
        <family val="3"/>
        <charset val="204"/>
      </rPr>
      <t xml:space="preserve">1*16 </t>
    </r>
  </si>
  <si>
    <r>
      <t xml:space="preserve">Установка трубы /гофры, кабель- каналов, коробов ПВХ по конструкциям  Д </t>
    </r>
    <r>
      <rPr>
        <b/>
        <sz val="10"/>
        <color rgb="FFFF0000"/>
        <rFont val="Consolas"/>
        <family val="3"/>
        <charset val="204"/>
      </rPr>
      <t>до 25 мм/размером до 25х25мм</t>
    </r>
  </si>
  <si>
    <r>
      <t xml:space="preserve">Установка трубы /гофры, кабель каналов, коробов ПВХ по конструкциям Д </t>
    </r>
    <r>
      <rPr>
        <b/>
        <sz val="10"/>
        <color rgb="FFFF0000"/>
        <rFont val="Consolas"/>
        <family val="3"/>
        <charset val="204"/>
      </rPr>
      <t>до 63 мм/размером до 60х60мм</t>
    </r>
  </si>
  <si>
    <r>
      <t xml:space="preserve">Установка трубы /гофры, кабель каналов, коробов ПВХ по конструкциям Д </t>
    </r>
    <r>
      <rPr>
        <b/>
        <sz val="10"/>
        <color rgb="FFFF0000"/>
        <rFont val="Consolas"/>
        <family val="3"/>
        <charset val="204"/>
      </rPr>
      <t>более  63  мм/размером более 60х60мм</t>
    </r>
  </si>
  <si>
    <r>
      <t xml:space="preserve">Прокладка и монтаж кабельных ( в т.ч.  перфорированных, металлических) лотков </t>
    </r>
    <r>
      <rPr>
        <b/>
        <sz val="10"/>
        <color rgb="FFFF0000"/>
        <rFont val="Consolas"/>
        <family val="3"/>
        <charset val="204"/>
      </rPr>
      <t>до 400 мм,</t>
    </r>
    <r>
      <rPr>
        <sz val="10"/>
        <color theme="1"/>
        <rFont val="Consolas"/>
        <family val="3"/>
        <charset val="204"/>
      </rPr>
      <t xml:space="preserve"> со всеми комплектующими (крышка, заглушки, повороты, соединительные элементы и прочее)</t>
    </r>
  </si>
  <si>
    <r>
      <t xml:space="preserve">ПИР, СМР, с учетом  стоимости вспомогательных и основных материалов  </t>
    </r>
    <r>
      <rPr>
        <b/>
        <sz val="10"/>
        <color rgb="FF0000FF"/>
        <rFont val="Consolas"/>
        <family val="3"/>
        <charset val="204"/>
      </rPr>
      <t>(включая стоимость ОРШ, и работы по демонтажу при замене)</t>
    </r>
    <r>
      <rPr>
        <sz val="10"/>
        <color theme="1"/>
        <rFont val="Consolas"/>
        <family val="3"/>
        <charset val="204"/>
      </rPr>
      <t>. Оформлением разрешительных документов и исполнительной документации.</t>
    </r>
  </si>
  <si>
    <r>
      <t xml:space="preserve">ПИР, СМР, с учетом  стоимости вспомогательных и основных материалов   </t>
    </r>
    <r>
      <rPr>
        <b/>
        <sz val="10"/>
        <color rgb="FF0000FF"/>
        <rFont val="Consolas"/>
        <family val="3"/>
        <charset val="204"/>
      </rPr>
      <t>(включая стоимость ОРШ, и работы по демонтажу при замене)</t>
    </r>
    <r>
      <rPr>
        <sz val="10"/>
        <color theme="1"/>
        <rFont val="Consolas"/>
        <family val="3"/>
        <charset val="204"/>
      </rPr>
      <t>. Оформлением разрешительных документов и исполнительной документации.</t>
    </r>
  </si>
  <si>
    <r>
      <t xml:space="preserve">ПИР, СМР, с учетом  стоимости монтажа, расключения, вспомогательных и основных материалов </t>
    </r>
    <r>
      <rPr>
        <b/>
        <sz val="10"/>
        <color rgb="FF0000FF"/>
        <rFont val="Consolas"/>
        <family val="3"/>
        <charset val="204"/>
      </rPr>
      <t xml:space="preserve"> (включая стоимость сплиттера)</t>
    </r>
    <r>
      <rPr>
        <sz val="10"/>
        <color theme="1"/>
        <rFont val="Consolas"/>
        <family val="3"/>
        <charset val="204"/>
      </rPr>
      <t>. Оформлением разрешительных документов и исполнительной документации.</t>
    </r>
  </si>
  <si>
    <r>
      <t xml:space="preserve">ПИР, СМР, с учетом  стоимости монтажа, расключения, вспомогательных и основных материалов </t>
    </r>
    <r>
      <rPr>
        <sz val="10"/>
        <color rgb="FF0000FF"/>
        <rFont val="Consolas"/>
        <family val="3"/>
        <charset val="204"/>
      </rPr>
      <t xml:space="preserve"> (включая стоимость сплиттера</t>
    </r>
    <r>
      <rPr>
        <sz val="10"/>
        <color theme="1"/>
        <rFont val="Consolas"/>
        <family val="3"/>
        <charset val="204"/>
      </rPr>
      <t>). Оформлением разрешительных документов и исполнительной документации.</t>
    </r>
  </si>
  <si>
    <r>
      <t xml:space="preserve">Прокладка металлорукава диаметром </t>
    </r>
    <r>
      <rPr>
        <b/>
        <sz val="10"/>
        <color rgb="FFFF0000"/>
        <rFont val="Consolas"/>
        <family val="3"/>
        <charset val="204"/>
      </rPr>
      <t>до 38 мм</t>
    </r>
  </si>
  <si>
    <r>
      <t xml:space="preserve">Монтаж/Замена патч-корда с монтажом/заменой SFP модуля (при необходимости) при длине патч-корда </t>
    </r>
    <r>
      <rPr>
        <b/>
        <sz val="10"/>
        <color rgb="FFFF0000"/>
        <rFont val="Consolas"/>
        <family val="3"/>
        <charset val="204"/>
      </rPr>
      <t>до 3 м</t>
    </r>
  </si>
  <si>
    <r>
      <t xml:space="preserve">Монтаж/Замена патч-корда с монтажом/заменой SFP модуля (при необходимости) при длине патч-корда </t>
    </r>
    <r>
      <rPr>
        <b/>
        <sz val="10"/>
        <color rgb="FFFF0000"/>
        <rFont val="Consolas"/>
        <family val="3"/>
        <charset val="204"/>
      </rPr>
      <t xml:space="preserve">свыше 3 м до 10 м </t>
    </r>
    <r>
      <rPr>
        <sz val="10"/>
        <rFont val="Consolas"/>
        <family val="3"/>
        <charset val="204"/>
      </rPr>
      <t>включительно</t>
    </r>
  </si>
  <si>
    <r>
      <t>СМР, Прочие затраты: монтаж/замена патч-корда, в том числе для переключения  узлов FTTB с двухволоконной на одноволоконную схему организации связи с заменой (при необходимости) SFP модуля, работающего по двухволоконной схеме, на SFP модуль, работающий по одноволоконной схеме, с учетом стоимости патч-кордов и расходных материалов (состав для обработки разъемов, баллончик со сжатым воздухом и проч.),</t>
    </r>
    <r>
      <rPr>
        <b/>
        <sz val="10"/>
        <color rgb="FF0000FF"/>
        <rFont val="Consolas"/>
        <family val="3"/>
        <charset val="204"/>
      </rPr>
      <t xml:space="preserve"> без учета стоимости SFP модуля</t>
    </r>
    <r>
      <rPr>
        <sz val="10"/>
        <rFont val="Consolas"/>
        <family val="3"/>
        <charset val="204"/>
      </rPr>
      <t>, прочие расходы (включая транспортные).</t>
    </r>
  </si>
  <si>
    <r>
      <t xml:space="preserve">СМР, Прочие затраты: монтаж/замена патч-корда, в том числе для переключения  узлов FTTB с двухволоконной на одноволоконную схему организации связи:  с заменой (при необходимости) SFP модуля, работающего по двухволоконной схеме, на SFP модуль, работающий по одноволоконной схеме, с учетом стоимости патч-кордов и расходных материалов (состав для обработки разъемов, баллончик со сжатым воздухом и проч.), </t>
    </r>
    <r>
      <rPr>
        <b/>
        <sz val="10"/>
        <color rgb="FF0000FF"/>
        <rFont val="Consolas"/>
        <family val="3"/>
        <charset val="204"/>
      </rPr>
      <t>без учета стоимости SFP модуля</t>
    </r>
    <r>
      <rPr>
        <sz val="10"/>
        <rFont val="Consolas"/>
        <family val="3"/>
        <charset val="204"/>
      </rPr>
      <t>, прочие расходы (включая транспортные).</t>
    </r>
  </si>
  <si>
    <r>
      <t xml:space="preserve">Монтаж оптических  патч-кордов (включая стоимость патч-корда, монтаж, с учётом расходных и монтажных материалов) </t>
    </r>
    <r>
      <rPr>
        <b/>
        <sz val="10"/>
        <color rgb="FFFF0000"/>
        <rFont val="Consolas"/>
        <family val="3"/>
        <charset val="204"/>
      </rPr>
      <t>до 50 м.</t>
    </r>
  </si>
  <si>
    <r>
      <t xml:space="preserve">Сварка/переварка волокон
</t>
    </r>
    <r>
      <rPr>
        <b/>
        <sz val="10"/>
        <color rgb="FF0000FF"/>
        <rFont val="Consolas"/>
        <family val="3"/>
        <charset val="204"/>
      </rPr>
      <t>(применяется только на  существующей кабельной линии)</t>
    </r>
  </si>
  <si>
    <r>
      <t>ПИР, СМР, Прочие затраты, не ограничиваясь перечисленным: прокладка и монтаж кабеля по борозде скобами с устройством и заделкой борозды с финишной отделкой</t>
    </r>
    <r>
      <rPr>
        <b/>
        <sz val="10"/>
        <color theme="1"/>
        <rFont val="Consolas"/>
        <family val="3"/>
        <charset val="204"/>
      </rPr>
      <t xml:space="preserve"> </t>
    </r>
    <r>
      <rPr>
        <sz val="10"/>
        <color theme="1"/>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кабеля, коннектора/розетки RJ, прочих материалов. Оформление исполнительной документации.</t>
    </r>
  </si>
  <si>
    <r>
      <t>ПИР, СМР, Прочие затраты, не ограничиваясь перечисленным: прокладка и монтаж кабеля по трубе/коробу/гофре</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кабеля, коннектора/розетки RJ, прочих материалов.  Оформление исполнительной документации.</t>
    </r>
  </si>
  <si>
    <r>
      <t>ПИР, СМР, Прочие затраты, не ограничиваясь перечисленным: прокладка трубы/короба/гофры, прокладка и монтаж кабеля по трубе/коробу/гофре</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трубы/короба, гофры, кабеля, коннектора/розетки RJ, прочих материалов.  Оформление исполнительной документации.</t>
    </r>
  </si>
  <si>
    <r>
      <t xml:space="preserve">ПИР, СМР, прочие, не ограничиваясь перечисленным: прокладка и монтаж кабеля по стене (в т.ч. по фасаду) </t>
    </r>
    <r>
      <rPr>
        <b/>
        <sz val="10"/>
        <rFont val="Consolas"/>
        <family val="3"/>
        <charset val="204"/>
      </rPr>
      <t xml:space="preserve"> </t>
    </r>
    <r>
      <rPr>
        <sz val="10"/>
        <rFont val="Consolas"/>
        <family val="3"/>
        <charset val="204"/>
      </rPr>
      <t>от установленных ШАН и патч-панелей, с учетом стоимости разделки, устройством отверстий в стенах  (с установкой гильз), заделкой, с учетом стоимости кабеля, коннектора/розетки RJ, прочих материалов. Оформление исполнительной документации.</t>
    </r>
  </si>
  <si>
    <r>
      <t>ПИР, СМР, прочие, не ограничиваясь перечисленным: прокладка и монтаж кабеля по борозде скобами с устройством и заделкой борозды с финишной отделкой</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кабеля, коннектора/розетки RJ, прочих материалов. Оформление исполнительной документации.</t>
    </r>
  </si>
  <si>
    <r>
      <t>ПИР, СМР, прочие, не ограничиваясь перечисленным: прокладка и монтаж кабеля по трубе/коробу/гофре</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кабеля, коннектора/розетки RJ, прочих материалов.  Оформление исполнительной документации.</t>
    </r>
  </si>
  <si>
    <r>
      <t>ПИР, СМР, прочие, не ограничиваясь перечисленным: прокладка трубы/короба/гофры, прокладка и монтаж кабеля по трубе/коробу/гофре</t>
    </r>
    <r>
      <rPr>
        <b/>
        <sz val="10"/>
        <rFont val="Consolas"/>
        <family val="3"/>
        <charset val="204"/>
      </rPr>
      <t xml:space="preserve"> </t>
    </r>
    <r>
      <rPr>
        <sz val="10"/>
        <rFont val="Consolas"/>
        <family val="3"/>
        <charset val="204"/>
      </rPr>
      <t>от установленных ШАН и патч-панелей,  с учетом стоимости разделки,  с устройством, при необходимости, отверстий в стенах с заделкой (с установкой гильз), с учетом стоимости трубы/короба, гофры, кабеля, коннектора/розетки RJ, прочих материалов.  Оформление исполнительной документации.</t>
    </r>
  </si>
  <si>
    <r>
      <t xml:space="preserve">ПИР, СМР, Прочие затраты, исполнительная документация, при этом включено:  монтаж шкафа, подключение к электропитанию и заземлению, стоимость и монтаж ЩРУН (щиток учетно-распределительный), стоимость и установка узлов учета электрической энергии, автоматического выключателя, стоимость и прокладка силового кабеля (длиной </t>
    </r>
    <r>
      <rPr>
        <b/>
        <sz val="10"/>
        <color rgb="FFFF0000"/>
        <rFont val="Consolas"/>
        <family val="3"/>
        <charset val="204"/>
      </rPr>
      <t>до 20 м</t>
    </r>
    <r>
      <rPr>
        <sz val="10"/>
        <rFont val="Consolas"/>
        <family val="3"/>
        <charset val="204"/>
      </rPr>
      <t>), стоимость шкафа/стойки и монтажных материалов, включая органайзер, патч-панель, стоимость доставки. Оформление разрешительных документов на размещение.</t>
    </r>
  </si>
  <si>
    <r>
      <rPr>
        <b/>
        <sz val="10"/>
        <color rgb="FFFF0000"/>
        <rFont val="Consolas"/>
        <family val="3"/>
        <charset val="204"/>
      </rPr>
      <t>до 9 U</t>
    </r>
    <r>
      <rPr>
        <sz val="10"/>
        <rFont val="Consolas"/>
        <family val="3"/>
        <charset val="204"/>
      </rPr>
      <t xml:space="preserve"> включительно</t>
    </r>
  </si>
  <si>
    <r>
      <rPr>
        <b/>
        <sz val="10"/>
        <color rgb="FFFF0000"/>
        <rFont val="Consolas"/>
        <family val="3"/>
        <charset val="204"/>
      </rPr>
      <t>до 12U</t>
    </r>
    <r>
      <rPr>
        <sz val="10"/>
        <rFont val="Consolas"/>
        <family val="3"/>
        <charset val="204"/>
      </rPr>
      <t xml:space="preserve"> включительно</t>
    </r>
  </si>
  <si>
    <r>
      <rPr>
        <b/>
        <sz val="10"/>
        <color rgb="FFFF0000"/>
        <rFont val="Consolas"/>
        <family val="3"/>
        <charset val="204"/>
      </rPr>
      <t>до 24U</t>
    </r>
    <r>
      <rPr>
        <sz val="10"/>
        <rFont val="Consolas"/>
        <family val="3"/>
        <charset val="204"/>
      </rPr>
      <t xml:space="preserve"> включительно</t>
    </r>
  </si>
  <si>
    <r>
      <rPr>
        <b/>
        <sz val="10"/>
        <color rgb="FFFF0000"/>
        <rFont val="Consolas"/>
        <family val="3"/>
        <charset val="204"/>
      </rPr>
      <t>до 48U</t>
    </r>
    <r>
      <rPr>
        <sz val="10"/>
        <rFont val="Consolas"/>
        <family val="3"/>
        <charset val="204"/>
      </rPr>
      <t xml:space="preserve"> включительно</t>
    </r>
  </si>
  <si>
    <r>
      <t xml:space="preserve">Монтаж телекоммуникационного  шкафа, телекоммуникационной стойки </t>
    </r>
    <r>
      <rPr>
        <b/>
        <sz val="10"/>
        <color rgb="FF0000FF"/>
        <rFont val="Consolas"/>
        <family val="3"/>
        <charset val="204"/>
      </rPr>
      <t>любой ёмкости</t>
    </r>
  </si>
  <si>
    <r>
      <t xml:space="preserve">ПИР, 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длиной 20м (при необходимости), стоимость монтажных материалов;  Оформление разрешительных документов, исполнительной документации.
</t>
    </r>
    <r>
      <rPr>
        <b/>
        <sz val="10"/>
        <color rgb="FF0000FF"/>
        <rFont val="Consolas"/>
        <family val="3"/>
        <charset val="204"/>
      </rPr>
      <t>Не включено:  стоимость укомплектованного шкафа,  монтаж и стоимость активного оборудования.</t>
    </r>
  </si>
  <si>
    <r>
      <t xml:space="preserve">Монтаж оптических кроссовых шкафов (включая монтаж пигтейлов и с учётом расходных и монтажных материалов). </t>
    </r>
    <r>
      <rPr>
        <b/>
        <sz val="10"/>
        <color rgb="FF0000FF"/>
        <rFont val="Consolas"/>
        <family val="3"/>
        <charset val="204"/>
      </rPr>
      <t>Без учета стоимости шкафа</t>
    </r>
    <r>
      <rPr>
        <sz val="10"/>
        <color rgb="FF0000FF"/>
        <rFont val="Consolas"/>
        <family val="3"/>
        <charset val="204"/>
      </rPr>
      <t>.</t>
    </r>
  </si>
  <si>
    <r>
      <t xml:space="preserve">Монтаж оборудования в существующий телекоммуникационный шкаф/стойку размером </t>
    </r>
    <r>
      <rPr>
        <b/>
        <sz val="10"/>
        <color rgb="FFFF0000"/>
        <rFont val="Consolas"/>
        <family val="3"/>
        <charset val="204"/>
      </rPr>
      <t>свыше 4 U.</t>
    </r>
  </si>
  <si>
    <r>
      <t xml:space="preserve">Монтаж оборудования в существующий телекоммуникационный шкаф/стойку </t>
    </r>
    <r>
      <rPr>
        <b/>
        <sz val="10"/>
        <color rgb="FFFF0000"/>
        <rFont val="Consolas"/>
        <family val="3"/>
        <charset val="204"/>
      </rPr>
      <t>размером
 1-4U включительно.</t>
    </r>
  </si>
  <si>
    <r>
      <t xml:space="preserve">ПИР, СМР. Установка коммутатора  доступа, VoIP шлюза до 72 портов FXO/ FXS, ОРШ, платы расширения, OLT,  коммутатора агрегации, оптического мультиплексора (4хЕ1, 2хFE), медиаконвертера, контроллера телеметрии, ИБП, HDSL модем, ADSL модем, ONT, L3 СРЕ, оборудование Wi-Fi и пр. СМР, ПНР, включая  монтаж SFP и стоимость материалов и кабеля, </t>
    </r>
    <r>
      <rPr>
        <b/>
        <sz val="10"/>
        <color rgb="FF0000FF"/>
        <rFont val="Consolas"/>
        <family val="3"/>
        <charset val="204"/>
      </rPr>
      <t>без учета стоимости оборудования.</t>
    </r>
    <r>
      <rPr>
        <sz val="10"/>
        <color theme="1"/>
        <rFont val="Consolas"/>
        <family val="3"/>
        <charset val="204"/>
      </rPr>
      <t xml:space="preserve"> Монтаж оборудования   в существующую стойку (шкаф), подключение  электропитания от существующего источника питания;  подключение к каналообразующему оборудованию.  Оформление исполнительной документации.</t>
    </r>
  </si>
  <si>
    <r>
      <t xml:space="preserve">Установка  коммутатора  доступа на 24 порта/ СПВ-конвертера и патч-панели на 24 порта, блока розеток,  в существующий шкаф,  включая монтаж SFP и стоимость материалов и кабеля, </t>
    </r>
    <r>
      <rPr>
        <b/>
        <sz val="10"/>
        <color rgb="FF0000FF"/>
        <rFont val="Consolas"/>
        <family val="3"/>
        <charset val="204"/>
      </rPr>
      <t>без учета стоимости оборудования</t>
    </r>
    <r>
      <rPr>
        <sz val="10"/>
        <rFont val="Consolas"/>
        <family val="3"/>
        <charset val="204"/>
      </rPr>
      <t>, подключение  электропитания от существующего источника питания;  подключение к сети передачи данных.  Оформление  разрешительных документов (по требованию Заказчика), исполнительной документации.</t>
    </r>
  </si>
  <si>
    <r>
      <t xml:space="preserve">ёмкостью </t>
    </r>
    <r>
      <rPr>
        <b/>
        <sz val="10"/>
        <color rgb="FFFF0000"/>
        <rFont val="Consolas"/>
        <family val="3"/>
        <charset val="204"/>
      </rPr>
      <t xml:space="preserve">менее 256 </t>
    </r>
    <r>
      <rPr>
        <sz val="10"/>
        <color theme="1"/>
        <rFont val="Consolas"/>
        <family val="3"/>
        <charset val="204"/>
      </rPr>
      <t>портов</t>
    </r>
  </si>
  <si>
    <r>
      <t xml:space="preserve">ёмкостью </t>
    </r>
    <r>
      <rPr>
        <b/>
        <sz val="10"/>
        <color rgb="FFFF0000"/>
        <rFont val="Consolas"/>
        <family val="3"/>
        <charset val="204"/>
      </rPr>
      <t>от 256-1028</t>
    </r>
    <r>
      <rPr>
        <sz val="10"/>
        <color theme="1"/>
        <rFont val="Consolas"/>
        <family val="3"/>
        <charset val="204"/>
      </rPr>
      <t xml:space="preserve"> портов</t>
    </r>
  </si>
  <si>
    <r>
      <t xml:space="preserve">ёмкостью </t>
    </r>
    <r>
      <rPr>
        <b/>
        <sz val="10"/>
        <color rgb="FFFF0000"/>
        <rFont val="Consolas"/>
        <family val="3"/>
        <charset val="204"/>
      </rPr>
      <t>от 1028 до 2048</t>
    </r>
  </si>
  <si>
    <r>
      <t>Установка, монтаж и расшивка патч-панели</t>
    </r>
    <r>
      <rPr>
        <sz val="10"/>
        <color rgb="FFFF0000"/>
        <rFont val="Consolas"/>
        <family val="3"/>
        <charset val="204"/>
      </rPr>
      <t xml:space="preserve"> </t>
    </r>
    <r>
      <rPr>
        <b/>
        <sz val="10"/>
        <color rgb="FFFF0000"/>
        <rFont val="Consolas"/>
        <family val="3"/>
        <charset val="204"/>
      </rPr>
      <t>12 портов</t>
    </r>
  </si>
  <si>
    <r>
      <t xml:space="preserve">ПИР, СМР (включая стоимость патч-панели, сопутствующих работ). Установка, монтаж и расшивка патч-панели </t>
    </r>
    <r>
      <rPr>
        <b/>
        <sz val="10"/>
        <color rgb="FFFF0000"/>
        <rFont val="Consolas"/>
        <family val="3"/>
        <charset val="204"/>
      </rPr>
      <t>12  портов.</t>
    </r>
  </si>
  <si>
    <r>
      <t xml:space="preserve">Установка, монтаж и расшивка патч-панели </t>
    </r>
    <r>
      <rPr>
        <b/>
        <sz val="10"/>
        <color rgb="FFFF0000"/>
        <rFont val="Consolas"/>
        <family val="3"/>
        <charset val="204"/>
      </rPr>
      <t>24 порта</t>
    </r>
  </si>
  <si>
    <r>
      <t xml:space="preserve">ПИР, СМР (включая стоимость патч-панели, сопутствующих работ). Установка, монтаж и расшивка патч-панели </t>
    </r>
    <r>
      <rPr>
        <b/>
        <sz val="10"/>
        <color rgb="FFFF0000"/>
        <rFont val="Consolas"/>
        <family val="3"/>
        <charset val="204"/>
      </rPr>
      <t>24 порта.</t>
    </r>
  </si>
  <si>
    <r>
      <t xml:space="preserve">Демонтаж телекоммуникационного  шкафа, телекоммуникационной стойки: </t>
    </r>
    <r>
      <rPr>
        <b/>
        <sz val="10"/>
        <color rgb="FFFF0000"/>
        <rFont val="Consolas"/>
        <family val="3"/>
        <charset val="204"/>
      </rPr>
      <t xml:space="preserve">до 24 U </t>
    </r>
    <r>
      <rPr>
        <sz val="10"/>
        <color theme="1"/>
        <rFont val="Consolas"/>
        <family val="3"/>
        <charset val="204"/>
      </rPr>
      <t>включительно</t>
    </r>
  </si>
  <si>
    <r>
      <t xml:space="preserve">Демонтаж телекоммуникационного  шкафа, телекоммуникационной стойки: </t>
    </r>
    <r>
      <rPr>
        <b/>
        <sz val="10"/>
        <color rgb="FFFF0000"/>
        <rFont val="Consolas"/>
        <family val="3"/>
        <charset val="204"/>
      </rPr>
      <t>до 48 U</t>
    </r>
    <r>
      <rPr>
        <sz val="10"/>
        <color theme="1"/>
        <rFont val="Consolas"/>
        <family val="3"/>
        <charset val="204"/>
      </rPr>
      <t xml:space="preserve"> включительно</t>
    </r>
  </si>
  <si>
    <r>
      <t xml:space="preserve">ПИР, СМР. Демонтаж оборудования размером </t>
    </r>
    <r>
      <rPr>
        <b/>
        <sz val="10"/>
        <color rgb="FFFF0000"/>
        <rFont val="Consolas"/>
        <family val="3"/>
        <charset val="204"/>
      </rPr>
      <t xml:space="preserve">1-4 U </t>
    </r>
    <r>
      <rPr>
        <sz val="10"/>
        <color theme="1"/>
        <rFont val="Consolas"/>
        <family val="3"/>
        <charset val="204"/>
      </rPr>
      <t>(включительно), оформление акта сдачи-приемки заказчику.</t>
    </r>
  </si>
  <si>
    <r>
      <rPr>
        <b/>
        <sz val="10"/>
        <color rgb="FFFF0000"/>
        <rFont val="Consolas"/>
        <family val="3"/>
        <charset val="204"/>
      </rPr>
      <t>НЕ ПРИМЕНЯТЬ</t>
    </r>
    <r>
      <rPr>
        <sz val="10"/>
        <rFont val="Consolas"/>
        <family val="3"/>
        <charset val="204"/>
      </rPr>
      <t xml:space="preserve"> данную расценку для организации абонентской линии в ДХ абонента!</t>
    </r>
  </si>
  <si>
    <r>
      <t xml:space="preserve">Устройство абонентской линии в Домохозяйство (ДХ) кабелем типа UTP/FTP Cat 5е </t>
    </r>
    <r>
      <rPr>
        <b/>
        <sz val="10"/>
        <color rgb="FFFF0000"/>
        <rFont val="Consolas"/>
        <family val="3"/>
        <charset val="204"/>
      </rPr>
      <t>(до 4 пар)</t>
    </r>
    <r>
      <rPr>
        <sz val="10"/>
        <color theme="1"/>
        <rFont val="Consolas"/>
        <family val="3"/>
        <charset val="204"/>
      </rPr>
      <t xml:space="preserve"> </t>
    </r>
    <r>
      <rPr>
        <b/>
        <sz val="10"/>
        <color rgb="FF0000FF"/>
        <rFont val="Consolas"/>
        <family val="3"/>
        <charset val="204"/>
      </rPr>
      <t>открытым способом/ по существующим, установленным конструкциям (трубе/коробу/кабель-каналу)</t>
    </r>
    <r>
      <rPr>
        <sz val="10"/>
        <color theme="1"/>
        <rFont val="Consolas"/>
        <family val="3"/>
        <charset val="204"/>
      </rPr>
      <t>, с выводом на абонентскую розетку типа RJ или на абонентскую коробку не оборудованную розеткой 220 В, включая запас 5 м в ДХ.</t>
    </r>
  </si>
  <si>
    <r>
      <t>ПИР, СМР, Прочие затраты, не ограничиваясь перечисленным: прокладка и монтаж кабеля по стене/ существующим конструкциям (трубе/коробу/кабель-каналу)</t>
    </r>
    <r>
      <rPr>
        <b/>
        <sz val="10"/>
        <color theme="1"/>
        <rFont val="Consolas"/>
        <family val="3"/>
        <charset val="204"/>
      </rPr>
      <t xml:space="preserve"> </t>
    </r>
    <r>
      <rPr>
        <sz val="10"/>
        <color theme="1"/>
        <rFont val="Consolas"/>
        <family val="3"/>
        <charset val="204"/>
      </rPr>
      <t>от установленного ШАН/КРТ на этаже до абонентской розетки в ДХ, с учётом стоимости разделки, устройством отверстий в стенах (с установкой гильз), заделкой, с учётом стоимости кабеля, розетки RJ, прочих материалов.</t>
    </r>
    <r>
      <rPr>
        <sz val="10"/>
        <color rgb="FFFF0000"/>
        <rFont val="Consolas"/>
        <family val="3"/>
        <charset val="204"/>
      </rPr>
      <t xml:space="preserve"> </t>
    </r>
    <r>
      <rPr>
        <b/>
        <sz val="10"/>
        <color rgb="FF0000FF"/>
        <rFont val="Consolas"/>
        <family val="3"/>
        <charset val="204"/>
      </rPr>
      <t>При выводе линии на абонентскую коробку, коробка предоставляется Заказчиком.</t>
    </r>
    <r>
      <rPr>
        <sz val="10"/>
        <color theme="1"/>
        <rFont val="Consolas"/>
        <family val="3"/>
        <charset val="204"/>
      </rPr>
      <t xml:space="preserve">  Оформление исполнительной документации.</t>
    </r>
  </si>
  <si>
    <r>
      <t xml:space="preserve">ПИР, СМР, Прочие затраты, не ограничиваясь перечисленным: монтаж конструкций (трубы/короба/кабель-канала), прокладка и монтаж кабеля от установленного ШАН/КРТ на этаже до абонентской розетки в ДХ, с учётом стоимости разделки, устройством отверстий в стенах (с установкой гильз), заделкой, с учётом стоимости трубы/короба/кабель-канала, кабеля, розетки RJ, прочих материалов. </t>
    </r>
    <r>
      <rPr>
        <b/>
        <sz val="10"/>
        <color rgb="FF0000FF"/>
        <rFont val="Consolas"/>
        <family val="3"/>
        <charset val="204"/>
      </rPr>
      <t xml:space="preserve"> При выводе линии на абонентскую коробку, коробка предоставляется Заказчиком.</t>
    </r>
    <r>
      <rPr>
        <b/>
        <sz val="10"/>
        <color rgb="FFFF0000"/>
        <rFont val="Consolas"/>
        <family val="3"/>
        <charset val="204"/>
      </rPr>
      <t xml:space="preserve"> </t>
    </r>
    <r>
      <rPr>
        <sz val="10"/>
        <color theme="1"/>
        <rFont val="Consolas"/>
        <family val="3"/>
        <charset val="204"/>
      </rPr>
      <t>Оформление исполнительной документации.</t>
    </r>
  </si>
  <si>
    <r>
      <t>ПИР, СМР, Прочие затраты, не ограничиваясь перечисленным: прокладка и монтаж кабеля по стене/ существующим конструкциям (трубе/коробу/кабель-каналу)</t>
    </r>
    <r>
      <rPr>
        <b/>
        <sz val="10"/>
        <color theme="1"/>
        <rFont val="Consolas"/>
        <family val="3"/>
        <charset val="204"/>
      </rPr>
      <t xml:space="preserve"> </t>
    </r>
    <r>
      <rPr>
        <sz val="10"/>
        <color theme="1"/>
        <rFont val="Consolas"/>
        <family val="3"/>
        <charset val="204"/>
      </rPr>
      <t xml:space="preserve">от установленной ОРК на этаже до абонентской оптической розетки в ДХ, с учётом стоимости разделки, устройством отверстий в стенах (с установкой гильз), заделкой, с учётом стоимости кабеля, абонентской оптической розетки, прочих материалов. </t>
    </r>
    <r>
      <rPr>
        <b/>
        <sz val="10"/>
        <color rgb="FF0000FF"/>
        <rFont val="Consolas"/>
        <family val="3"/>
        <charset val="204"/>
      </rPr>
      <t>При выводе линии на абонентскую коробку, коробка предоставляется Заказчиком.</t>
    </r>
    <r>
      <rPr>
        <b/>
        <sz val="10"/>
        <color rgb="FFFF0000"/>
        <rFont val="Consolas"/>
        <family val="3"/>
        <charset val="204"/>
      </rPr>
      <t xml:space="preserve"> </t>
    </r>
    <r>
      <rPr>
        <sz val="10"/>
        <color theme="1"/>
        <rFont val="Consolas"/>
        <family val="3"/>
        <charset val="204"/>
      </rPr>
      <t>Оформление исполнительной документации.</t>
    </r>
  </si>
  <si>
    <r>
      <t xml:space="preserve">Устройство абонентской линии в Домохозяйство (ДХ) кабелем типа UTP/FTP Cat 5е </t>
    </r>
    <r>
      <rPr>
        <b/>
        <sz val="10"/>
        <color rgb="FFFF0000"/>
        <rFont val="Consolas"/>
        <family val="3"/>
        <charset val="204"/>
      </rPr>
      <t>(до 4 пар)</t>
    </r>
    <r>
      <rPr>
        <sz val="10"/>
        <color theme="1"/>
        <rFont val="Consolas"/>
        <family val="3"/>
        <charset val="204"/>
      </rPr>
      <t xml:space="preserve"> </t>
    </r>
    <r>
      <rPr>
        <b/>
        <sz val="10"/>
        <color rgb="FF0000FF"/>
        <rFont val="Consolas"/>
        <family val="3"/>
        <charset val="204"/>
      </rPr>
      <t>с установкой конструкций (трубы/короба/кабель-канала),</t>
    </r>
    <r>
      <rPr>
        <sz val="10"/>
        <color theme="1"/>
        <rFont val="Consolas"/>
        <family val="3"/>
        <charset val="204"/>
      </rPr>
      <t xml:space="preserve"> с выводом на абонентскую розетку типа RJ или на абонентскую коробку не оборудованную розеткой 220 В, включая запас 5 м в ДХ.</t>
    </r>
  </si>
  <si>
    <r>
      <t>Устройство оптической абонентской линии</t>
    </r>
    <r>
      <rPr>
        <b/>
        <sz val="10"/>
        <color rgb="FFFF0000"/>
        <rFont val="Consolas"/>
        <family val="3"/>
        <charset val="204"/>
      </rPr>
      <t xml:space="preserve"> GPON/P2P</t>
    </r>
    <r>
      <rPr>
        <sz val="10"/>
        <color theme="1"/>
        <rFont val="Consolas"/>
        <family val="3"/>
        <charset val="204"/>
      </rPr>
      <t xml:space="preserve"> в Домохозяйство (ДХ) </t>
    </r>
    <r>
      <rPr>
        <b/>
        <sz val="10"/>
        <color rgb="FF0000FF"/>
        <rFont val="Consolas"/>
        <family val="3"/>
        <charset val="204"/>
      </rPr>
      <t>открытым способом/ по существующим, установленным конструкциям (трубе/коробу/кабель-каналу),</t>
    </r>
    <r>
      <rPr>
        <sz val="10"/>
        <color theme="1"/>
        <rFont val="Consolas"/>
        <family val="3"/>
        <charset val="204"/>
      </rPr>
      <t xml:space="preserve"> с выводом на абонентскую оптическую розетку или на абонентскую коробку не оборудованную розеткой 220 В, включая запас 5 м в ДХ.</t>
    </r>
  </si>
  <si>
    <r>
      <t>ПИР, СМР, Прочие затраты, не ограничиваясь перечисленным: монтаж конструкций (трубы/короба/кабель-канала), прокладка и монтаж кабеля</t>
    </r>
    <r>
      <rPr>
        <b/>
        <sz val="10"/>
        <color theme="1"/>
        <rFont val="Consolas"/>
        <family val="3"/>
        <charset val="204"/>
      </rPr>
      <t xml:space="preserve"> </t>
    </r>
    <r>
      <rPr>
        <sz val="10"/>
        <color theme="1"/>
        <rFont val="Consolas"/>
        <family val="3"/>
        <charset val="204"/>
      </rPr>
      <t>от установленной ОРК на этаже до абонентской оптической розетки в ДХ, с учётом стоимости разделки, с устройством отверстий в стенах (с установкой гильз) заделкой, с учётом стоимости трубы/короба/кабель-канала, кабеля, абонентской оптической розетки, прочих материалов.</t>
    </r>
    <r>
      <rPr>
        <b/>
        <sz val="10"/>
        <color rgb="FFFF0000"/>
        <rFont val="Consolas"/>
        <family val="3"/>
        <charset val="204"/>
      </rPr>
      <t xml:space="preserve"> </t>
    </r>
    <r>
      <rPr>
        <b/>
        <sz val="10"/>
        <color rgb="FF0000FF"/>
        <rFont val="Consolas"/>
        <family val="3"/>
        <charset val="204"/>
      </rPr>
      <t>При выводе линии на абонентскую коробку, коробка предоставляется Заказчиком.</t>
    </r>
    <r>
      <rPr>
        <sz val="10"/>
        <color theme="1"/>
        <rFont val="Consolas"/>
        <family val="3"/>
        <charset val="204"/>
      </rPr>
      <t xml:space="preserve"> Оформление исполнительной документации.</t>
    </r>
  </si>
  <si>
    <r>
      <t>ПИР, СМР, Прочие затраты, не ограничиваясь перечисленным: прокладка и монтаж кабеля по стене/ существующим конструкциям (трубе/коробу/кабель-каналу)</t>
    </r>
    <r>
      <rPr>
        <b/>
        <sz val="10"/>
        <color theme="1"/>
        <rFont val="Consolas"/>
        <family val="3"/>
        <charset val="204"/>
      </rPr>
      <t xml:space="preserve"> </t>
    </r>
    <r>
      <rPr>
        <sz val="10"/>
        <color theme="1"/>
        <rFont val="Consolas"/>
        <family val="3"/>
        <charset val="204"/>
      </rPr>
      <t xml:space="preserve">от установленного ШАН/КРТ на этаже до абонентской розетки в ДХ, с учётом стоимости разделки, устройством отверстий в стенах (с установкой гильз), заделкой, с учётом стоимости кабеля, розетки RJ, прочих материалов. </t>
    </r>
    <r>
      <rPr>
        <b/>
        <sz val="10"/>
        <color rgb="FF0000FF"/>
        <rFont val="Consolas"/>
        <family val="3"/>
        <charset val="204"/>
      </rPr>
      <t>При выводе линии на абонентскую коробку, коробка предоставляется Заказчиком.</t>
    </r>
    <r>
      <rPr>
        <sz val="10"/>
        <color theme="1"/>
        <rFont val="Consolas"/>
        <family val="3"/>
        <charset val="204"/>
      </rPr>
      <t xml:space="preserve"> Оформление исполнительной документации.</t>
    </r>
  </si>
  <si>
    <r>
      <t xml:space="preserve">ПИР, СМР, Прочие затраты, не ограничиваясь перечисленным: монтаж конструкций (трубы/короба/кабель-канала), прокладка и монтаж кабеля от установленного ШАН/КРТ на этаже до абонентской розетки в ДХ, с учётом стоимости разделки, устройством отверстий в стенах (с установкой гильз), заделкой, с учётом стоимости трубы/короба/кабель-канала, кабеля, розетки RJ, прочих материалов. </t>
    </r>
    <r>
      <rPr>
        <b/>
        <sz val="10"/>
        <color rgb="FF0000FF"/>
        <rFont val="Consolas"/>
        <family val="3"/>
        <charset val="204"/>
      </rPr>
      <t>При выводе линии на абонентскую коробку, коробка предоставляется Заказчиком.</t>
    </r>
    <r>
      <rPr>
        <b/>
        <sz val="10"/>
        <color rgb="FFFF0000"/>
        <rFont val="Consolas"/>
        <family val="3"/>
        <charset val="204"/>
      </rPr>
      <t xml:space="preserve"> </t>
    </r>
    <r>
      <rPr>
        <sz val="10"/>
        <color theme="1"/>
        <rFont val="Consolas"/>
        <family val="3"/>
        <charset val="204"/>
      </rPr>
      <t>Оформление исполнительной документации.</t>
    </r>
  </si>
  <si>
    <r>
      <t>ПИР, СМР, Прочие затраты, не ограничиваясь перечисленным: прокладка и монтаж кабеля по стене/ существующим конструкциям (трубе/коробу/кабель-каналу)</t>
    </r>
    <r>
      <rPr>
        <b/>
        <sz val="10"/>
        <color theme="1"/>
        <rFont val="Consolas"/>
        <family val="3"/>
        <charset val="204"/>
      </rPr>
      <t xml:space="preserve"> </t>
    </r>
    <r>
      <rPr>
        <sz val="10"/>
        <color theme="1"/>
        <rFont val="Consolas"/>
        <family val="3"/>
        <charset val="204"/>
      </rPr>
      <t>от установленного разветвителя КТВ на этаже до абонентской  розетки в ДХ или вновь устанавливаемого разъема F-типа, с учётом стоимости разделки, устройством отверстий в стенах (с установкой гильз), заделкой, с учётом стоимости кабеля, абонентской розетки/разъемов F-типа, прочих материалов.</t>
    </r>
    <r>
      <rPr>
        <sz val="10"/>
        <color rgb="FF0000FF"/>
        <rFont val="Consolas"/>
        <family val="3"/>
        <charset val="204"/>
      </rPr>
      <t xml:space="preserve"> </t>
    </r>
    <r>
      <rPr>
        <b/>
        <sz val="10"/>
        <color rgb="FF0000FF"/>
        <rFont val="Consolas"/>
        <family val="3"/>
        <charset val="204"/>
      </rPr>
      <t>При выводе линии на абонентскую коробку, коробка предоставляется Заказчиком.</t>
    </r>
    <r>
      <rPr>
        <b/>
        <sz val="10"/>
        <color rgb="FFFF0000"/>
        <rFont val="Consolas"/>
        <family val="3"/>
        <charset val="204"/>
      </rPr>
      <t xml:space="preserve"> </t>
    </r>
    <r>
      <rPr>
        <sz val="10"/>
        <color theme="1"/>
        <rFont val="Consolas"/>
        <family val="3"/>
        <charset val="204"/>
      </rPr>
      <t>Оформление исполнительной документации.</t>
    </r>
  </si>
  <si>
    <r>
      <t>ПИР, СМР, Прочие затраты, не ограничиваясь перечисленным: монтаж конструкций (трубы/короба/кабель-канала), прокладка и монтаж кабеля</t>
    </r>
    <r>
      <rPr>
        <b/>
        <sz val="10"/>
        <color theme="1"/>
        <rFont val="Consolas"/>
        <family val="3"/>
        <charset val="204"/>
      </rPr>
      <t xml:space="preserve"> </t>
    </r>
    <r>
      <rPr>
        <sz val="10"/>
        <color theme="1"/>
        <rFont val="Consolas"/>
        <family val="3"/>
        <charset val="204"/>
      </rPr>
      <t>от установленного разветвителя КТВ на этаже до абонентской  розетки в ДХ или вновь устанавливаемого разъема F-типа, с учётом стоимости разделки, с устройством отверстий в стенах (с установкой гильз) заделкой, с учётом стоимости трубы/короба/кабель-канала, кабеля,  абонентской розетки/разъемов F-типа, прочих материалов.</t>
    </r>
    <r>
      <rPr>
        <b/>
        <sz val="10"/>
        <color rgb="FF0000FF"/>
        <rFont val="Consolas"/>
        <family val="3"/>
        <charset val="204"/>
      </rPr>
      <t xml:space="preserve"> При выводе линии на абонентскую коробку, коробка предоставляется Заказчиком</t>
    </r>
    <r>
      <rPr>
        <b/>
        <sz val="10"/>
        <color rgb="FFFF0000"/>
        <rFont val="Consolas"/>
        <family val="3"/>
        <charset val="204"/>
      </rPr>
      <t>.</t>
    </r>
    <r>
      <rPr>
        <sz val="10"/>
        <color theme="1"/>
        <rFont val="Consolas"/>
        <family val="3"/>
        <charset val="204"/>
      </rPr>
      <t xml:space="preserve"> Оформление исполнительной документации.</t>
    </r>
  </si>
  <si>
    <r>
      <t xml:space="preserve">Устройство линии кабелем типа UTP/FTP Cat 5е </t>
    </r>
    <r>
      <rPr>
        <b/>
        <sz val="10"/>
        <color rgb="FFFF0000"/>
        <rFont val="Consolas"/>
        <family val="3"/>
        <charset val="204"/>
      </rPr>
      <t>(до 4 пар)</t>
    </r>
    <r>
      <rPr>
        <sz val="10"/>
        <color theme="1"/>
        <rFont val="Consolas"/>
        <family val="3"/>
        <charset val="204"/>
      </rPr>
      <t xml:space="preserve">  </t>
    </r>
    <r>
      <rPr>
        <b/>
        <sz val="10"/>
        <color rgb="FF0000FF"/>
        <rFont val="Consolas"/>
        <family val="3"/>
        <charset val="204"/>
      </rPr>
      <t>по стене с креплением скобами (открытая проводка</t>
    </r>
    <r>
      <rPr>
        <sz val="10"/>
        <color theme="1"/>
        <rFont val="Consolas"/>
        <family val="3"/>
        <charset val="204"/>
      </rPr>
      <t>) с оконцовкой коннектором типа RJ или розеткой типа RJ</t>
    </r>
  </si>
  <si>
    <r>
      <t xml:space="preserve">Устройство линии кабелем типа UTP/FTP Cat 5е </t>
    </r>
    <r>
      <rPr>
        <b/>
        <sz val="10"/>
        <color rgb="FFFF0000"/>
        <rFont val="Consolas"/>
        <family val="3"/>
        <charset val="204"/>
      </rPr>
      <t>(до 4 пар)</t>
    </r>
    <r>
      <rPr>
        <sz val="10"/>
        <color theme="1"/>
        <rFont val="Consolas"/>
        <family val="3"/>
        <charset val="204"/>
      </rPr>
      <t xml:space="preserve">  </t>
    </r>
    <r>
      <rPr>
        <b/>
        <sz val="10"/>
        <color rgb="FF0000FF"/>
        <rFont val="Consolas"/>
        <family val="3"/>
        <charset val="204"/>
      </rPr>
      <t>по стене с устройством и заделкой борозды с креплением  скобами (скрытая проводка)</t>
    </r>
    <r>
      <rPr>
        <sz val="10"/>
        <color theme="1"/>
        <rFont val="Consolas"/>
        <family val="3"/>
        <charset val="204"/>
      </rPr>
      <t xml:space="preserve"> с оконцовкой коннектором типа RJ или розеткой типа RJ</t>
    </r>
  </si>
  <si>
    <r>
      <t xml:space="preserve">Устройство линии кабелем типа UTP/FTP Cat 5е </t>
    </r>
    <r>
      <rPr>
        <b/>
        <sz val="10"/>
        <color rgb="FFFF0000"/>
        <rFont val="Consolas"/>
        <family val="3"/>
        <charset val="204"/>
      </rPr>
      <t>(до 4 пар)</t>
    </r>
    <r>
      <rPr>
        <sz val="10"/>
        <color indexed="10"/>
        <rFont val="Consolas"/>
        <family val="3"/>
        <charset val="204"/>
      </rPr>
      <t xml:space="preserve">  </t>
    </r>
    <r>
      <rPr>
        <b/>
        <sz val="10"/>
        <color rgb="FF0000FF"/>
        <rFont val="Consolas"/>
        <family val="3"/>
        <charset val="204"/>
      </rPr>
      <t>по установленным конструкциям (труба/канал/гофра)</t>
    </r>
    <r>
      <rPr>
        <sz val="10"/>
        <rFont val="Consolas"/>
        <family val="3"/>
        <charset val="204"/>
      </rPr>
      <t xml:space="preserve"> с оконцовкой коннектором типа RJ или розеткой типа RJ</t>
    </r>
  </si>
  <si>
    <r>
      <t xml:space="preserve">Устройство линии кабелем типа UTP/FTP Cat 5е </t>
    </r>
    <r>
      <rPr>
        <b/>
        <sz val="10"/>
        <color rgb="FFFF0000"/>
        <rFont val="Consolas"/>
        <family val="3"/>
        <charset val="204"/>
      </rPr>
      <t>(до 4 пар)</t>
    </r>
    <r>
      <rPr>
        <sz val="10"/>
        <color indexed="10"/>
        <rFont val="Consolas"/>
        <family val="3"/>
        <charset val="204"/>
      </rPr>
      <t xml:space="preserve">  </t>
    </r>
    <r>
      <rPr>
        <b/>
        <sz val="10"/>
        <color rgb="FF0000FF"/>
        <rFont val="Consolas"/>
        <family val="3"/>
        <charset val="204"/>
      </rPr>
      <t>по конструкциям (труба/короб/гофра) с их установко</t>
    </r>
    <r>
      <rPr>
        <sz val="10"/>
        <rFont val="Consolas"/>
        <family val="3"/>
        <charset val="204"/>
      </rPr>
      <t>й, с оконцовкой коннектором типа RJ или розеткой типа RJ</t>
    </r>
  </si>
  <si>
    <r>
      <t xml:space="preserve">Устройство линии кабелем типа UTP/FTP Cat 5 </t>
    </r>
    <r>
      <rPr>
        <b/>
        <sz val="10"/>
        <color rgb="FFFF0000"/>
        <rFont val="Consolas"/>
        <family val="3"/>
        <charset val="204"/>
      </rPr>
      <t>(св. 4 до 8 пар)</t>
    </r>
    <r>
      <rPr>
        <sz val="10"/>
        <rFont val="Consolas"/>
        <family val="3"/>
        <charset val="204"/>
      </rPr>
      <t xml:space="preserve"> </t>
    </r>
    <r>
      <rPr>
        <b/>
        <sz val="10"/>
        <color rgb="FF0000FF"/>
        <rFont val="Consolas"/>
        <family val="3"/>
        <charset val="204"/>
      </rPr>
      <t xml:space="preserve"> по стене с креплением скобами (открытая проводка</t>
    </r>
    <r>
      <rPr>
        <sz val="10"/>
        <rFont val="Consolas"/>
        <family val="3"/>
        <charset val="204"/>
      </rPr>
      <t>) с оконцовкой коннектором типа RJ или розеткой типа RJ</t>
    </r>
  </si>
  <si>
    <r>
      <t>Устройство линии кабелем типа UTP/F</t>
    </r>
    <r>
      <rPr>
        <sz val="10"/>
        <rFont val="Consolas"/>
        <family val="3"/>
        <charset val="204"/>
      </rPr>
      <t>TP Cat 5</t>
    </r>
    <r>
      <rPr>
        <b/>
        <sz val="10"/>
        <color rgb="FFFF0000"/>
        <rFont val="Consolas"/>
        <family val="3"/>
        <charset val="204"/>
      </rPr>
      <t xml:space="preserve"> (св.4 до 8 пар)</t>
    </r>
    <r>
      <rPr>
        <sz val="10"/>
        <rFont val="Consolas"/>
        <family val="3"/>
        <charset val="204"/>
      </rPr>
      <t xml:space="preserve">  </t>
    </r>
    <r>
      <rPr>
        <b/>
        <sz val="10"/>
        <color rgb="FF0000FF"/>
        <rFont val="Consolas"/>
        <family val="3"/>
        <charset val="204"/>
      </rPr>
      <t>по стене с устройством и заделкой борозды с креплением  скобами (скрытая проводка</t>
    </r>
    <r>
      <rPr>
        <sz val="10"/>
        <rFont val="Consolas"/>
        <family val="3"/>
        <charset val="204"/>
      </rPr>
      <t>) с оконцовкой коннектором типа RJ или розеткой типа RJ</t>
    </r>
  </si>
  <si>
    <r>
      <t>Устройство линии кабелем типа UTP/FTP C</t>
    </r>
    <r>
      <rPr>
        <sz val="10"/>
        <color theme="1"/>
        <rFont val="Consolas"/>
        <family val="3"/>
        <charset val="204"/>
      </rPr>
      <t xml:space="preserve">at 5е </t>
    </r>
    <r>
      <rPr>
        <b/>
        <sz val="10"/>
        <color rgb="FFFF0000"/>
        <rFont val="Consolas"/>
        <family val="3"/>
        <charset val="204"/>
      </rPr>
      <t>(св.4 до 8 пар)</t>
    </r>
    <r>
      <rPr>
        <sz val="10"/>
        <color theme="1"/>
        <rFont val="Consolas"/>
        <family val="3"/>
        <charset val="204"/>
      </rPr>
      <t xml:space="preserve"> </t>
    </r>
    <r>
      <rPr>
        <b/>
        <sz val="10"/>
        <color rgb="FF0000FF"/>
        <rFont val="Consolas"/>
        <family val="3"/>
        <charset val="204"/>
      </rPr>
      <t>по установленным конструкциям (труба/канал/гофра)</t>
    </r>
    <r>
      <rPr>
        <sz val="10"/>
        <rFont val="Consolas"/>
        <family val="3"/>
        <charset val="204"/>
      </rPr>
      <t xml:space="preserve"> с оконцовкой коннектором типа RJ или розеткой типа RJ</t>
    </r>
  </si>
  <si>
    <r>
      <t xml:space="preserve">Устройство линии кабелем типа UTP/FTP Cat 5е </t>
    </r>
    <r>
      <rPr>
        <b/>
        <sz val="10"/>
        <color rgb="FFFF0000"/>
        <rFont val="Consolas"/>
        <family val="3"/>
        <charset val="204"/>
      </rPr>
      <t>(св.4 до 8 пар)</t>
    </r>
    <r>
      <rPr>
        <sz val="10"/>
        <color theme="1"/>
        <rFont val="Consolas"/>
        <family val="3"/>
        <charset val="204"/>
      </rPr>
      <t xml:space="preserve"> </t>
    </r>
    <r>
      <rPr>
        <b/>
        <sz val="10"/>
        <color rgb="FF0000FF"/>
        <rFont val="Consolas"/>
        <family val="3"/>
        <charset val="204"/>
      </rPr>
      <t>по конструкциям (труба/короб/гофра) с их установкой</t>
    </r>
    <r>
      <rPr>
        <sz val="10"/>
        <color theme="1"/>
        <rFont val="Consolas"/>
        <family val="3"/>
        <charset val="204"/>
      </rPr>
      <t>, с оконцовкой коннектором типа RJ или розеткой типа RJ</t>
    </r>
  </si>
  <si>
    <r>
      <t xml:space="preserve">СМР, ПИР, Прочие затраты, не ограничиваясь перечисленным  (включая стоимость кабеля и прочих материалов): Прокладка кабеля по шахте лифта,  с учетом стоимости разделки,  устройства отверстий в стенах  (с установкой гильз),  заделки,  стоимости кабеля, патчкорда, всех материалов. Проверка состояния изоляции кабеля до и после прокладки. Маркировка. </t>
    </r>
    <r>
      <rPr>
        <b/>
        <sz val="10"/>
        <color rgb="FF0000FF"/>
        <rFont val="Consolas"/>
        <family val="3"/>
        <charset val="204"/>
      </rPr>
      <t>Без стоимости оборудования.</t>
    </r>
    <r>
      <rPr>
        <sz val="10"/>
        <rFont val="Consolas"/>
        <family val="3"/>
        <charset val="204"/>
      </rPr>
      <t xml:space="preserve"> Оформление разрешительных документов, исполнительной документации.</t>
    </r>
  </si>
  <si>
    <r>
      <t>Устройство оптической линии/прокладка оптического патчкорда (duplex/simpex, любой разъем, любая полировка) внутри здания</t>
    </r>
    <r>
      <rPr>
        <b/>
        <sz val="10"/>
        <color rgb="FF0000FF"/>
        <rFont val="Consolas"/>
        <family val="3"/>
        <charset val="204"/>
      </rPr>
      <t xml:space="preserve"> по стенам/ существующим установленным конструкциям (трубам/коробам/кабель-каналам)</t>
    </r>
  </si>
  <si>
    <r>
      <t>Устройство оптической линии/прокладка оптического патчкорда (duplex/simpex, любой разъем, любая полировка) внутри здания</t>
    </r>
    <r>
      <rPr>
        <b/>
        <sz val="10"/>
        <color rgb="FF0000FF"/>
        <rFont val="Consolas"/>
        <family val="3"/>
        <charset val="204"/>
      </rPr>
      <t xml:space="preserve"> с установкой конструкций (труб/коробов/кабель-каналов)</t>
    </r>
  </si>
  <si>
    <r>
      <t xml:space="preserve">Прокладка и монтаж коаксиального кабеля </t>
    </r>
    <r>
      <rPr>
        <b/>
        <sz val="10"/>
        <color rgb="FF0000FF"/>
        <rFont val="Consolas"/>
        <family val="3"/>
        <charset val="204"/>
      </rPr>
      <t>по установленным конструкциям (трубам, коробам и т.д.)</t>
    </r>
  </si>
  <si>
    <r>
      <t xml:space="preserve">Прокладка и монтаж коаксиального кабеля </t>
    </r>
    <r>
      <rPr>
        <b/>
        <sz val="10"/>
        <color rgb="FF0000FF"/>
        <rFont val="Consolas"/>
        <family val="3"/>
        <charset val="204"/>
      </rPr>
      <t>с установкой конструкций (труб, коробов и т.д.)</t>
    </r>
  </si>
  <si>
    <r>
      <t xml:space="preserve">Устройство абонентской линии КТВ в Домохозяйство (ДХ) кабелем </t>
    </r>
    <r>
      <rPr>
        <b/>
        <sz val="10"/>
        <color rgb="FFFF0000"/>
        <rFont val="Consolas"/>
        <family val="3"/>
        <charset val="204"/>
      </rPr>
      <t>типа RG-59/</t>
    </r>
    <r>
      <rPr>
        <sz val="10"/>
        <color rgb="FFFF0000"/>
        <rFont val="Consolas"/>
        <family val="3"/>
        <charset val="204"/>
      </rPr>
      <t xml:space="preserve">6 </t>
    </r>
    <r>
      <rPr>
        <sz val="10"/>
        <color theme="1"/>
        <rFont val="Consolas"/>
        <family val="3"/>
        <charset val="204"/>
      </rPr>
      <t>(или аналог)</t>
    </r>
    <r>
      <rPr>
        <b/>
        <sz val="10"/>
        <color rgb="FF0000FF"/>
        <rFont val="Consolas"/>
        <family val="3"/>
        <charset val="204"/>
      </rPr>
      <t xml:space="preserve"> открытым способом/ по существующим, установленным конструкциям (трубе/коробу/кабель-каналу)</t>
    </r>
    <r>
      <rPr>
        <sz val="10"/>
        <color theme="1"/>
        <rFont val="Consolas"/>
        <family val="3"/>
        <charset val="204"/>
      </rPr>
      <t>, с оконечиванием разъемами F - типа/выводом на абонентскую розетку или на абонентскую коробку не оборудованную розеткой 220 В, включая запас 5 м в ДХ.</t>
    </r>
  </si>
  <si>
    <r>
      <t xml:space="preserve">Устройство абонентской линии КТВ в Домохозяйство (ДХ) кабелем </t>
    </r>
    <r>
      <rPr>
        <b/>
        <sz val="10"/>
        <color rgb="FFFF0000"/>
        <rFont val="Consolas"/>
        <family val="3"/>
        <charset val="204"/>
      </rPr>
      <t>типа RG-59/6</t>
    </r>
    <r>
      <rPr>
        <b/>
        <sz val="10"/>
        <color rgb="FF0000FF"/>
        <rFont val="Consolas"/>
        <family val="3"/>
        <charset val="204"/>
      </rPr>
      <t xml:space="preserve"> </t>
    </r>
    <r>
      <rPr>
        <sz val="10"/>
        <color theme="1"/>
        <rFont val="Consolas"/>
        <family val="3"/>
        <charset val="204"/>
      </rPr>
      <t>(или аналог)</t>
    </r>
    <r>
      <rPr>
        <b/>
        <sz val="10"/>
        <color rgb="FF0000FF"/>
        <rFont val="Consolas"/>
        <family val="3"/>
        <charset val="204"/>
      </rPr>
      <t xml:space="preserve"> с установкой конструкций (трубы/короба/кабель-канала),</t>
    </r>
    <r>
      <rPr>
        <sz val="10"/>
        <color theme="1"/>
        <rFont val="Consolas"/>
        <family val="3"/>
        <charset val="204"/>
      </rPr>
      <t xml:space="preserve">  с оконечиванием разъемами F - типа/выводом на абонентскую розетку или на абонентскую коробку не оборудованную розеткой 220 В, включая запас 5 м в ДХ.</t>
    </r>
  </si>
  <si>
    <r>
      <t xml:space="preserve">СМР, ПИР, не ограничиваясь перечисленным; подготовка места установки, установка и монтаж вызывной панели (включая крепежные материалы и изделия), включение электропитания. Оформление разрешительных документов, исполнительной документации.
</t>
    </r>
    <r>
      <rPr>
        <b/>
        <sz val="10"/>
        <color rgb="FF0000FF"/>
        <rFont val="Consolas"/>
        <family val="3"/>
        <charset val="204"/>
      </rPr>
      <t xml:space="preserve">Без стоимости оборудования. Прокладка и монтаж кабелей данной расценкой не учитываются.   </t>
    </r>
  </si>
  <si>
    <r>
      <t xml:space="preserve">СМР, ПИР, не ограничиваясь перечисленным; демонтаж старой панели, подготовка/переустройство  места установки новой панели, установка и монтаж вызывной панели (включая крепежные материалы и изделия, переходные пластины, монтажные кожухи, необходимые строительные материалы), включение электропитания. Оформление разрешительных документов, исполнительной документации.
</t>
    </r>
    <r>
      <rPr>
        <b/>
        <sz val="10"/>
        <color rgb="FF0000FF"/>
        <rFont val="Consolas"/>
        <family val="3"/>
        <charset val="204"/>
      </rPr>
      <t xml:space="preserve">Без стоимости оборудования. Прокладка и монтаж кабелей данной расценкой не учитываются.   </t>
    </r>
  </si>
  <si>
    <r>
      <t xml:space="preserve">СМР, ПИР,  не ограничиваясь перечисленным; подготовка места установки, установка и монтаж кнопки выхода/считывателя (включая крепежные материалы и изделия). Оформление разрешительных документов, исполнительной документации. </t>
    </r>
    <r>
      <rPr>
        <b/>
        <sz val="10"/>
        <color rgb="FF0000FF"/>
        <rFont val="Consolas"/>
        <family val="3"/>
        <charset val="204"/>
      </rPr>
      <t xml:space="preserve">Без стоимости оборудования. Прокладка и монтаж кабелей данной расценкой не учитываются.   </t>
    </r>
  </si>
  <si>
    <r>
      <t xml:space="preserve">СМР, ПИР, не ограничиваясь перечисленным; подготовка места установки, установка и монтаж электромагнитного замка с кнопкой аварийного выхода (включая кабель,  крепежные материалы и изделия). Оформление разрешительных документов, исполнительной документации. </t>
    </r>
    <r>
      <rPr>
        <b/>
        <sz val="10"/>
        <color rgb="FF0000FF"/>
        <rFont val="Consolas"/>
        <family val="3"/>
        <charset val="204"/>
      </rPr>
      <t>Без стоимости оборудования.</t>
    </r>
  </si>
  <si>
    <r>
      <t xml:space="preserve">СМР, ПИР,  не ограничиваясь перечисленным; установка и монтаж блока питания (включая крепежные материалы и изделия), включение электропитания. Оформление разрешительных документов, исполнительной документации.
</t>
    </r>
    <r>
      <rPr>
        <b/>
        <sz val="10"/>
        <color rgb="FF0000FF"/>
        <rFont val="Consolas"/>
        <family val="3"/>
        <charset val="204"/>
      </rPr>
      <t>Без стоимости оборудования. Прокладка и монтаж кабелей данной расценкой не учитываются.</t>
    </r>
    <r>
      <rPr>
        <sz val="10"/>
        <color theme="1"/>
        <rFont val="Consolas"/>
        <family val="3"/>
        <charset val="204"/>
      </rPr>
      <t xml:space="preserve">   </t>
    </r>
  </si>
  <si>
    <r>
      <t xml:space="preserve">СМР, ПИР,  не ограничиваясь перечисленным;  установка и монтаж контроллера (включая крепежные материалы и изделия). Оформление разрешительных документов, исполнительной документации.
</t>
    </r>
    <r>
      <rPr>
        <b/>
        <sz val="10"/>
        <color rgb="FF0000FF"/>
        <rFont val="Consolas"/>
        <family val="3"/>
        <charset val="204"/>
      </rPr>
      <t xml:space="preserve">Без стоимости оборудования. </t>
    </r>
  </si>
  <si>
    <r>
      <t xml:space="preserve">СМР, ПИР,  не ограничиваясь перечисленным; установка и монтаж блока сопряжения (включая крепежные материалы и изделия).  Оформление разрешительных документов, исполнительной документации.
</t>
    </r>
    <r>
      <rPr>
        <b/>
        <sz val="10"/>
        <color rgb="FF0000FF"/>
        <rFont val="Consolas"/>
        <family val="3"/>
        <charset val="204"/>
      </rPr>
      <t>Без стоимости оборудования.</t>
    </r>
    <r>
      <rPr>
        <sz val="10"/>
        <color theme="1"/>
        <rFont val="Consolas"/>
        <family val="3"/>
        <charset val="204"/>
      </rPr>
      <t xml:space="preserve"> </t>
    </r>
  </si>
  <si>
    <r>
      <t xml:space="preserve">СМР, ПИР, прочие, не  ограничиваясь перечисленным </t>
    </r>
    <r>
      <rPr>
        <b/>
        <sz val="10"/>
        <color rgb="FF0000FF"/>
        <rFont val="Consolas"/>
        <family val="3"/>
        <charset val="204"/>
      </rPr>
      <t>(включая стоимость доводчика и  материалов)</t>
    </r>
    <r>
      <rPr>
        <sz val="10"/>
        <color theme="1"/>
        <rFont val="Consolas"/>
        <family val="3"/>
        <charset val="204"/>
      </rPr>
      <t>: Установка и монтаж доводчика. Оформление исполнительной документации.</t>
    </r>
  </si>
  <si>
    <r>
      <t xml:space="preserve">СМР: Программирование ключа, </t>
    </r>
    <r>
      <rPr>
        <b/>
        <sz val="10"/>
        <color rgb="FF0000FF"/>
        <rFont val="Consolas"/>
        <family val="3"/>
        <charset val="204"/>
      </rPr>
      <t>включая стоимость ключа</t>
    </r>
    <r>
      <rPr>
        <sz val="10"/>
        <rFont val="Consolas"/>
        <family val="3"/>
        <charset val="204"/>
      </rPr>
      <t xml:space="preserve"> соответствующего техническим требованиям Заказчика.</t>
    </r>
  </si>
  <si>
    <r>
      <t xml:space="preserve">Установка, подключение, настройка аудиотрубки в квартире абонента </t>
    </r>
    <r>
      <rPr>
        <b/>
        <sz val="10"/>
        <color rgb="FF0000FF"/>
        <rFont val="Consolas"/>
        <family val="3"/>
        <charset val="204"/>
      </rPr>
      <t>(с учетом стоимости оборудования)</t>
    </r>
  </si>
  <si>
    <r>
      <t xml:space="preserve">Подключение, переключение, замена, настройка аудиотрубки в квартире абонента при переходящем на обслуживание по домофонии доме </t>
    </r>
    <r>
      <rPr>
        <b/>
        <sz val="10"/>
        <color rgb="FF0000FF"/>
        <rFont val="Consolas"/>
        <family val="3"/>
        <charset val="204"/>
      </rPr>
      <t>(без учета стоимости оборудования)</t>
    </r>
  </si>
  <si>
    <r>
      <t xml:space="preserve">СМР: Работы по  монтажу, подключению, настройки аудиотрубки к системе домофона, с учетом стоимости аудиотрубки и крепежных материалов. Не ограничиваясь перечисленным; коммутация в распределительном щитке в соответствии со схемой подключения, проверка работоспособности (качество сигнала, кнопки открытия).
</t>
    </r>
    <r>
      <rPr>
        <b/>
        <sz val="10"/>
        <color rgb="FF0000FF"/>
        <rFont val="Consolas"/>
        <family val="3"/>
        <charset val="204"/>
      </rPr>
      <t>Прокладка кабеля от распределительной коробки производится по расценкам: 6.67-6.69</t>
    </r>
  </si>
  <si>
    <r>
      <t xml:space="preserve">Подключение, переключение, настройка абонентского видеодомофона при переходящем на обслуживание по домофонии доме </t>
    </r>
    <r>
      <rPr>
        <b/>
        <sz val="10"/>
        <color rgb="FF0000FF"/>
        <rFont val="Consolas"/>
        <family val="3"/>
        <charset val="204"/>
      </rPr>
      <t>(без учета стоимости оборудования)</t>
    </r>
  </si>
  <si>
    <r>
      <t xml:space="preserve">СМР, ПИР, Прочие затраты, в том числе ПНР, не ограничиваясь перечисленным: установка опорных конструкций (мачта) на крыше, стене или парапете(включая стоимость мачты с креплениями), монтаж антенны на мачте с юстировкой, монтаж выносного приемника, заземление, монтаж, настройка базовой станции, прокладка коаксиального кабеля от антенны до выносного приемника, включая стоимость основных и вспомогательных материалов. 
</t>
    </r>
    <r>
      <rPr>
        <b/>
        <sz val="10"/>
        <color rgb="FF0000FF"/>
        <rFont val="Consolas"/>
        <family val="3"/>
        <charset val="204"/>
      </rPr>
      <t xml:space="preserve">Стоимость оборудования данной расценкой не учтена. Прокладка и монтаж кабелей типа ВВГ и типа UTP/FTP данной расценкой не учтены. </t>
    </r>
  </si>
  <si>
    <r>
      <t xml:space="preserve">СМР, ПИР, Прочие затраты, в том числе ПНР, не ограничиваясь перечисленным:  монтаж антенны на существующей мачте/стойке с юстировкой, монтаж выносного приемника, заземление, монтаж, настройка базовой станции, прокладка коаксиального кабеля от антенны до выносного приемника, включая стоимость основных и вспомогательных материалов. 
</t>
    </r>
    <r>
      <rPr>
        <b/>
        <sz val="10"/>
        <color rgb="FF0000FF"/>
        <rFont val="Consolas"/>
        <family val="3"/>
        <charset val="204"/>
      </rPr>
      <t xml:space="preserve">Стоимость оборудования данной расценкой не учтена. Прокладка и монтаж кабелей типа ВВГ и типа UTP/FTP данной расценкой не учтены. </t>
    </r>
  </si>
  <si>
    <r>
      <t>Сборка и монтаж базовой радиостанции</t>
    </r>
    <r>
      <rPr>
        <b/>
        <sz val="10"/>
        <color rgb="FF0000FF"/>
        <rFont val="Consolas"/>
        <family val="3"/>
        <charset val="204"/>
      </rPr>
      <t xml:space="preserve"> на существующих конструкциях</t>
    </r>
  </si>
  <si>
    <r>
      <t xml:space="preserve">Сборка и монтаж базовой радиостанции </t>
    </r>
    <r>
      <rPr>
        <b/>
        <sz val="10"/>
        <color rgb="FF0000FF"/>
        <rFont val="Consolas"/>
        <family val="3"/>
        <charset val="204"/>
      </rPr>
      <t>на проектируемых конструкциях с их монтажом</t>
    </r>
    <r>
      <rPr>
        <sz val="10"/>
        <color rgb="FF000000"/>
        <rFont val="Consolas"/>
        <family val="3"/>
        <charset val="204"/>
      </rPr>
      <t xml:space="preserve">  </t>
    </r>
  </si>
  <si>
    <r>
      <t xml:space="preserve">Радиофикация подъездов в случае </t>
    </r>
    <r>
      <rPr>
        <b/>
        <sz val="10"/>
        <color rgb="FF0000FF"/>
        <rFont val="Consolas"/>
        <family val="3"/>
        <charset val="204"/>
      </rPr>
      <t>более 1-ого подъезда</t>
    </r>
    <r>
      <rPr>
        <sz val="10"/>
        <color rgb="FF000000"/>
        <rFont val="Consolas"/>
        <family val="3"/>
        <charset val="204"/>
      </rPr>
      <t xml:space="preserve"> в доме</t>
    </r>
  </si>
  <si>
    <r>
      <t xml:space="preserve">Прокладка провода трансляционного типа ПТВЖ (или аналог) для радиофикации жилого дома/подключения аудиотрубки домофона от распределительной коробки; прокладка провода для систем телеметрии </t>
    </r>
    <r>
      <rPr>
        <b/>
        <sz val="10"/>
        <color rgb="FF0000FF"/>
        <rFont val="Consolas"/>
        <family val="3"/>
        <charset val="204"/>
      </rPr>
      <t xml:space="preserve">типа КПСВВнг(А)-LS </t>
    </r>
    <r>
      <rPr>
        <sz val="10"/>
        <color rgb="FF000000"/>
        <rFont val="Consolas"/>
        <family val="3"/>
        <charset val="204"/>
      </rPr>
      <t xml:space="preserve">(или аналог), </t>
    </r>
    <r>
      <rPr>
        <b/>
        <u/>
        <sz val="10"/>
        <color rgb="FF0000FF"/>
        <rFont val="Consolas"/>
        <family val="3"/>
        <charset val="204"/>
      </rPr>
      <t>с устройством инфраструктуры для прокладки провода</t>
    </r>
  </si>
  <si>
    <r>
      <t xml:space="preserve">Прокладка провода трансляционного типа ПТВЖ (или аналог) для радиофикации жилого дома/подключения аудиотрубки домофона от распределительной коробки; прокладка провода для систем телеметрии типа </t>
    </r>
    <r>
      <rPr>
        <b/>
        <sz val="10"/>
        <color rgb="FF0000FF"/>
        <rFont val="Consolas"/>
        <family val="3"/>
        <charset val="204"/>
      </rPr>
      <t>КПВВнг(А)-LS (или аналог)</t>
    </r>
    <r>
      <rPr>
        <sz val="10"/>
        <color rgb="FF000000"/>
        <rFont val="Consolas"/>
        <family val="3"/>
        <charset val="204"/>
      </rPr>
      <t xml:space="preserve"> </t>
    </r>
    <r>
      <rPr>
        <b/>
        <u/>
        <sz val="10"/>
        <color rgb="FF0000FF"/>
        <rFont val="Consolas"/>
        <family val="3"/>
        <charset val="204"/>
      </rPr>
      <t>в готовой инфраструктуре</t>
    </r>
  </si>
  <si>
    <r>
      <t xml:space="preserve">Прокладка провода трансляционного типа ПТВЖ (или аналог) для радиофикации жилого дома/подключения аудиотрубки домофона от распределительной коробки; прокладка провода для систем телеметрии типа </t>
    </r>
    <r>
      <rPr>
        <b/>
        <sz val="10"/>
        <color rgb="FF0000FF"/>
        <rFont val="Consolas"/>
        <family val="3"/>
        <charset val="204"/>
      </rPr>
      <t>КПСВВнг(А)-LS (или аналог)</t>
    </r>
    <r>
      <rPr>
        <sz val="10"/>
        <color rgb="FF000000"/>
        <rFont val="Consolas"/>
        <family val="3"/>
        <charset val="204"/>
      </rPr>
      <t xml:space="preserve">, </t>
    </r>
    <r>
      <rPr>
        <b/>
        <u/>
        <sz val="10"/>
        <color rgb="FF0000FF"/>
        <rFont val="Consolas"/>
        <family val="3"/>
        <charset val="204"/>
      </rPr>
      <t>(скрытая проводка)</t>
    </r>
  </si>
  <si>
    <t>Вертикальный участок, для организации распределительной сети домофонии, организуется по расценке п. 6.1 -6.3</t>
  </si>
  <si>
    <r>
      <t>Монтаж этажного оповещателя</t>
    </r>
    <r>
      <rPr>
        <b/>
        <sz val="10"/>
        <color rgb="FFFF0000"/>
        <rFont val="Consolas"/>
        <family val="3"/>
        <charset val="204"/>
      </rPr>
      <t xml:space="preserve"> 30 В</t>
    </r>
  </si>
  <si>
    <r>
      <t xml:space="preserve">Монтаж рупорного громкоговорителя </t>
    </r>
    <r>
      <rPr>
        <b/>
        <sz val="10"/>
        <color rgb="FFFF0000"/>
        <rFont val="Consolas"/>
        <family val="3"/>
        <charset val="204"/>
      </rPr>
      <t>100 В</t>
    </r>
  </si>
  <si>
    <r>
      <t xml:space="preserve">ПИР, СМР: Монтаж понижающего абонентского трансформатора (ТАМУ) с учетом стоимости материалов.
</t>
    </r>
    <r>
      <rPr>
        <b/>
        <sz val="10"/>
        <color rgb="FF0000FF"/>
        <rFont val="Consolas"/>
        <family val="3"/>
        <charset val="204"/>
      </rPr>
      <t>Без учета стоимости трансформатора.</t>
    </r>
  </si>
  <si>
    <r>
      <t xml:space="preserve">ПИР, СМР: Позиция предусматривает: 
- установку и крепление оборудования; 
- прокладку и крепление проводов и кабелей, используемых при монтаже оборудования; 
- разделку и подключение проводов и кабелей к системе электропитания; 
- маркировку оборудования (согласно требованиям Заказчика); 
- включение электропитания и тестирование согласно требованиям производителя оборудования, указанным в инструкции по монтажу; 
-пуско-наладочные работы
Цена включает затраты на кабели питания, заземления, кабель UTP/FTP длиной </t>
    </r>
    <r>
      <rPr>
        <b/>
        <sz val="10"/>
        <color rgb="FFFF0000"/>
        <rFont val="Consolas"/>
        <family val="3"/>
        <charset val="204"/>
      </rPr>
      <t>до 100 метро</t>
    </r>
    <r>
      <rPr>
        <sz val="10"/>
        <rFont val="Consolas"/>
        <family val="3"/>
        <charset val="204"/>
      </rPr>
      <t>в, гофру и металлорукав для защиты этого кабеля, расходные материалы и доставку.</t>
    </r>
  </si>
  <si>
    <r>
      <t xml:space="preserve">СМР, ПИР, прочие затраты, не ограничиваясь перечисленным: Монтаж этажного оповещателя 30В,
</t>
    </r>
    <r>
      <rPr>
        <b/>
        <sz val="10"/>
        <color rgb="FF0000FF"/>
        <rFont val="Consolas"/>
        <family val="3"/>
        <charset val="204"/>
      </rPr>
      <t>без стоимости оборудования, с учетом материалов.</t>
    </r>
  </si>
  <si>
    <r>
      <t xml:space="preserve">СМР, ПИР, прочие затраты, не ограничиваясь перечисленным: Монтаж рупорного громкоговорителя 100В,
</t>
    </r>
    <r>
      <rPr>
        <b/>
        <sz val="10"/>
        <color rgb="FF0000FF"/>
        <rFont val="Consolas"/>
        <family val="3"/>
        <charset val="204"/>
      </rPr>
      <t>без стоимости оборудования, с учётом материалов.</t>
    </r>
  </si>
  <si>
    <r>
      <t xml:space="preserve">ПИР,СМР: монтаж универсального обогревателя с термостатом для мотора-редуктора привода шлагбаума,  согласно рекомендациям производителя, подключение и тестирование.
</t>
    </r>
    <r>
      <rPr>
        <b/>
        <sz val="10"/>
        <color rgb="FF0000FF"/>
        <rFont val="Consolas"/>
        <family val="3"/>
        <charset val="204"/>
      </rPr>
      <t>Не включает стоимость обогревателя с термостатом.</t>
    </r>
  </si>
  <si>
    <r>
      <t xml:space="preserve">СМР: Комплекс работ.  Включено, не ограничиваясь перечисленным: устройство бетонного основания, монтаж тумбы шлагбаума, стрелы,  организация трасы электропитания </t>
    </r>
    <r>
      <rPr>
        <b/>
        <sz val="10"/>
        <color rgb="FFFF0000"/>
        <rFont val="Consolas"/>
        <family val="3"/>
        <charset val="204"/>
      </rPr>
      <t>до 20 м</t>
    </r>
    <r>
      <rPr>
        <sz val="10"/>
        <color theme="1"/>
        <rFont val="Consolas"/>
        <family val="3"/>
        <charset val="204"/>
      </rPr>
      <t xml:space="preserve"> и расключение (включая стоимость материалов), восстановление покрытия проезжей части/тротуара/элементов благоустройства; монтаж фотоэлемента безопасности, считывателя, кодовой панели (включая монтаж кронштейнов и стоек); монтаж сигнальной лампы, монтаж антенны радиоканала, опоры под стрелу, настройка, тестирование, стоимость расходных материалов. </t>
    </r>
    <r>
      <rPr>
        <b/>
        <sz val="10"/>
        <color rgb="FF0000FF"/>
        <rFont val="Consolas"/>
        <family val="3"/>
        <charset val="204"/>
      </rPr>
      <t>Не включает стоимость шлагбаума и абонентские комплекты.</t>
    </r>
  </si>
  <si>
    <r>
      <t xml:space="preserve">ПИР,СМР: Комплекс работ.  Включено, не ограничиваясь перечисленным: (включая земляные работы при необходимости и подготовку основания (включая стоимость материалов), монтаж стойки светофора; монтаж светофора; организация трассы электропитания длиной </t>
    </r>
    <r>
      <rPr>
        <b/>
        <sz val="10"/>
        <color rgb="FFFF0000"/>
        <rFont val="Consolas"/>
        <family val="3"/>
        <charset val="204"/>
      </rPr>
      <t>до 5 м</t>
    </r>
    <r>
      <rPr>
        <sz val="10"/>
        <color theme="1"/>
        <rFont val="Consolas"/>
        <family val="3"/>
        <charset val="204"/>
      </rPr>
      <t xml:space="preserve"> и расключение (включая стоимость материалов); подключение коммутационного устройства (реле), подключение к контроллеру/блоку управления шлагбаума; восстановление покрытия проезжей части/тротуара/элементов благоустройства; оформление разрешительных документов; подготовка и сдача исполнительной документации.
</t>
    </r>
    <r>
      <rPr>
        <b/>
        <sz val="10"/>
        <color rgb="FF0000FF"/>
        <rFont val="Consolas"/>
        <family val="3"/>
        <charset val="204"/>
      </rPr>
      <t xml:space="preserve">Не включает стоимость стойки, светофора, коммутационного устройства. </t>
    </r>
  </si>
  <si>
    <r>
      <t xml:space="preserve">ПИР, СМР: Комплекс работ.  Включено, не ограничиваясь перечисленным: организация трассы сигнальных линий  длиной </t>
    </r>
    <r>
      <rPr>
        <b/>
        <sz val="10"/>
        <color rgb="FFFF0000"/>
        <rFont val="Consolas"/>
        <family val="3"/>
        <charset val="204"/>
      </rPr>
      <t>до 40 м</t>
    </r>
    <r>
      <rPr>
        <sz val="10"/>
        <color theme="1"/>
        <rFont val="Consolas"/>
        <family val="3"/>
        <charset val="204"/>
      </rPr>
      <t xml:space="preserve">. и расключение (включая стоимость материалов, в том числе кабеля), восстановление покрытия проезжей части/тротуара/элементов благоустройства.
</t>
    </r>
    <r>
      <rPr>
        <b/>
        <sz val="10"/>
        <color rgb="FF0000FF"/>
        <rFont val="Consolas"/>
        <family val="3"/>
        <charset val="204"/>
      </rPr>
      <t>Не включает стоимость индукционной петли.</t>
    </r>
  </si>
  <si>
    <r>
      <t xml:space="preserve">ПИР, СМР: Комплекс работ. Включено, не ограничиваясь перечисленным: подготовка поверхности к монтажу, установка и монтаж  турникета вне зависимости от конструкции (полуростовый, трипод, роторный); монтаж дополнительных конструкций по ширине прохода: ограждение, калитка, прочие конструкции; монтаж блока питания, организация трассы электропитания длиной </t>
    </r>
    <r>
      <rPr>
        <sz val="10"/>
        <color rgb="FFFF0000"/>
        <rFont val="Consolas"/>
        <family val="3"/>
        <charset val="204"/>
      </rPr>
      <t>до 20м</t>
    </r>
    <r>
      <rPr>
        <sz val="10"/>
        <color theme="1"/>
        <rFont val="Consolas"/>
        <family val="3"/>
        <charset val="204"/>
      </rPr>
      <t xml:space="preserve"> и расключение (включая стоимость материалов); монтаж блока управления; при необходимости монтаж дополнительного считывателя; подключение к контроллеру; настройка, тестирование; стоимость расходных материалов; подготовка и сдача исполнительной документации.
</t>
    </r>
    <r>
      <rPr>
        <b/>
        <sz val="10"/>
        <color rgb="FF0000FF"/>
        <rFont val="Consolas"/>
        <family val="3"/>
        <charset val="204"/>
      </rPr>
      <t>Не включает стоимость турникета и дополнительных конструкций (ограждение, калитка, прочие конструкции).</t>
    </r>
  </si>
  <si>
    <r>
      <t xml:space="preserve">ПИР, СМР: Коммутация сигнальных линий, программирование, настройка устройств/систем.
</t>
    </r>
    <r>
      <rPr>
        <b/>
        <sz val="10"/>
        <color rgb="FF0000FF"/>
        <rFont val="Consolas"/>
        <family val="3"/>
        <charset val="204"/>
      </rPr>
      <t>Не включает стоимость контроллера, монтаж, прокладку кабеля.</t>
    </r>
  </si>
  <si>
    <r>
      <t>ПИР,СМР: Комплекс работ. Включено, не ограничиваясь перечисленным: подготовка поверхности к монтажу (включая земляные работы с оформлением ордеров при необходимости и подготовку бетонного основания с учетом стоимости бетона), установка и монтаж  полноростового турникета;  монтаж дополнительных конструкций ограждения по ширине прохода: ограждение, калитка, прочие конструкции; установка блока питания, организация трассы электропитания длиной</t>
    </r>
    <r>
      <rPr>
        <b/>
        <sz val="10"/>
        <color rgb="FFFF0000"/>
        <rFont val="Consolas"/>
        <family val="3"/>
        <charset val="204"/>
      </rPr>
      <t xml:space="preserve"> до 20м</t>
    </r>
    <r>
      <rPr>
        <sz val="10"/>
        <color theme="1"/>
        <rFont val="Consolas"/>
        <family val="3"/>
        <charset val="204"/>
      </rPr>
      <t xml:space="preserve"> и расключение (включая стоимость материалов); восстановление  покрытий проезжей части/тротуаров, восстановление элементов благоустройства; монтаж блока управления; при необходимости монтаж дополнительного считывателя; подключение к контроллеру; настройка, тестирование, стоимость расходных материалов; оформление разрешительных документов; подготовка и сдача исполнительной документации.
</t>
    </r>
    <r>
      <rPr>
        <b/>
        <sz val="10"/>
        <color rgb="FF0000FF"/>
        <rFont val="Consolas"/>
        <family val="3"/>
        <charset val="204"/>
      </rPr>
      <t>Не включает стоимость турникета и дополнительных конструкций  (ограждение, калитка, прочие конструкции).</t>
    </r>
  </si>
  <si>
    <r>
      <t xml:space="preserve">ПИР,СМР: Комплекс работ. Включено, не ограничиваясь перечисленным: подготовка поверхности к монтажу (включая земляные работы с оформлением ордеров при необходимости и подготовку бетонного основания с учетом стоимости бетона), установка и монтаж  турникета вне зависимости от конструкции (полуростовый, трипод, роторный); монтаж дополнительных конструкций по ширине прохода: ограждение, калитка, прочие конструкции; установка блока питания; организация трассы электропитания длиной </t>
    </r>
    <r>
      <rPr>
        <b/>
        <sz val="10"/>
        <color rgb="FFFF0000"/>
        <rFont val="Consolas"/>
        <family val="3"/>
        <charset val="204"/>
      </rPr>
      <t xml:space="preserve">до 20м </t>
    </r>
    <r>
      <rPr>
        <sz val="10"/>
        <color theme="1"/>
        <rFont val="Consolas"/>
        <family val="3"/>
        <charset val="204"/>
      </rPr>
      <t xml:space="preserve">и расключение (включая стоимость материалов); восстановление покрытий проезжей части/тротуаров/благоустройства; монтаж блока управления; при необходимости монтаж дополнительного считывателя; подключение к контроллеру; настройка, тестирование; стоимость расходных материалов, оформление разрешительных документов; подготовка и сдача исполнительной документации.
</t>
    </r>
    <r>
      <rPr>
        <b/>
        <sz val="10"/>
        <color rgb="FF0000FF"/>
        <rFont val="Consolas"/>
        <family val="3"/>
        <charset val="204"/>
      </rPr>
      <t>Не включает стоимость турникета и дополнительных конструкций (ограждение, калитка, прочие конструкции).</t>
    </r>
  </si>
  <si>
    <r>
      <t xml:space="preserve">ПИР,СМР: Комплекс работ. Включено, не ограничиваясь перечисленным: подготовка поверхности к монтажу, установка и монтаж  полноростового турникета;  монтаж дополнительных конструкций ограждения по ширине прохода: ограждение, калитка, прочие конструкции; установка блока питания, организация трассы электропитания длиной </t>
    </r>
    <r>
      <rPr>
        <b/>
        <sz val="10"/>
        <color rgb="FFFF0000"/>
        <rFont val="Consolas"/>
        <family val="3"/>
        <charset val="204"/>
      </rPr>
      <t xml:space="preserve">до 20м </t>
    </r>
    <r>
      <rPr>
        <sz val="10"/>
        <color theme="1"/>
        <rFont val="Consolas"/>
        <family val="3"/>
        <charset val="204"/>
      </rPr>
      <t xml:space="preserve">и расключение (включая стоимость материалов); монтаж блока управления; при необходимости монтаж дополнительного считывателя; подключение к контроллеру; настройка, тестирование; стоимость расходных материалов; подготовка и сдача исполнительной документации.
</t>
    </r>
    <r>
      <rPr>
        <b/>
        <sz val="10"/>
        <color rgb="FF0000FF"/>
        <rFont val="Consolas"/>
        <family val="3"/>
        <charset val="204"/>
      </rPr>
      <t>Не включает стоимость турникета и дополнительных конструкций  (ограждение, калитка, прочие конструкции).</t>
    </r>
  </si>
  <si>
    <r>
      <t>ПИР, СМР: с учетом стоимости материалов.</t>
    </r>
    <r>
      <rPr>
        <b/>
        <sz val="10"/>
        <color rgb="FF0000FF"/>
        <rFont val="Consolas"/>
        <family val="3"/>
        <charset val="204"/>
      </rPr>
      <t xml:space="preserve"> Без учета стоимости счетчика.</t>
    </r>
  </si>
  <si>
    <r>
      <t>ПИР, СМР прочие затраты, не ограничиваясь перечисленным: монтаж блока коммутации/конвертера интерфейса/концентратора интерфейса на стену, расшивка кабеля в блоке коммутации, тестирование производственного монтажа, с учетом стоимости материалов.</t>
    </r>
    <r>
      <rPr>
        <b/>
        <sz val="10"/>
        <color rgb="FFFF0000"/>
        <rFont val="Consolas"/>
        <family val="3"/>
        <charset val="204"/>
      </rPr>
      <t xml:space="preserve"> </t>
    </r>
    <r>
      <rPr>
        <b/>
        <sz val="10"/>
        <color rgb="FF0000FF"/>
        <rFont val="Consolas"/>
        <family val="3"/>
        <charset val="204"/>
      </rPr>
      <t>Без учета стоимости блока коммутации.</t>
    </r>
  </si>
  <si>
    <r>
      <t>ПИР, СМР прочие затраты, не ограничиваясь перечисленным: монтаж регистратора/счетсчика импульсов на стену/в щиток, , тестирование производственного монтажа, настройка и тестирование канала, с учетом стоимости материалов.</t>
    </r>
    <r>
      <rPr>
        <b/>
        <sz val="10"/>
        <color rgb="FFFF0000"/>
        <rFont val="Consolas"/>
        <family val="3"/>
        <charset val="204"/>
      </rPr>
      <t xml:space="preserve"> </t>
    </r>
    <r>
      <rPr>
        <b/>
        <sz val="10"/>
        <color rgb="FF0000FF"/>
        <rFont val="Consolas"/>
        <family val="3"/>
        <charset val="204"/>
      </rPr>
      <t>Без учета стоимости регистратора.</t>
    </r>
  </si>
  <si>
    <r>
      <t>ПИР, СМР прочие затраты, не ограничиваясь перечисленным: монтаж контроллера на стену/в щиток,  тестирование производственного монтажа, настройка и тестирование канала, подключение к электропитанию, с учетом стоимости материалов.</t>
    </r>
    <r>
      <rPr>
        <b/>
        <sz val="10"/>
        <color rgb="FF0000FF"/>
        <rFont val="Consolas"/>
        <family val="3"/>
        <charset val="204"/>
      </rPr>
      <t xml:space="preserve"> Без учета стоимости контроллера.</t>
    </r>
  </si>
  <si>
    <r>
      <t>СМР, ПИР, прочие, не ограничиваясь перечисленным  (крепежные материалы и изделия): Установка  Wi-Fi ТД, видеокамеры в кожух. Разметка и сверление отверстий. Установка/ замена кронштейна для монтажа, включая завинчивание винтов до проектного усилия. Крепление камеры видеонаблюдения к кронштейну, юстировка. Настройка оборудования. Подключение. Оформление разрешительных документов, исполнительной документации.</t>
    </r>
    <r>
      <rPr>
        <b/>
        <sz val="10"/>
        <color rgb="FF0000FF"/>
        <rFont val="Consolas"/>
        <family val="3"/>
        <charset val="204"/>
      </rPr>
      <t xml:space="preserve">Без прокладки и стоимости кабеля. Без стоимости оборудования. </t>
    </r>
  </si>
  <si>
    <r>
      <t>СМР, ПИР, Прочие затраты, не ограничиваясь перечисленным  (крепежные материалы и изделия): Установка видеокамеры в кожух. Разметка и сверление отверстий. Установка кронштейна для монтажа камеры видеонаблюдения, включая завинчивание винтов до проектного усилия. Крепление камеры видеонаблюдения к кронштейну. Настройка изображения и фокуса. Подключение.</t>
    </r>
    <r>
      <rPr>
        <b/>
        <sz val="10"/>
        <color rgb="FFFF0000"/>
        <rFont val="Consolas"/>
        <family val="3"/>
        <charset val="204"/>
      </rPr>
      <t xml:space="preserve"> </t>
    </r>
    <r>
      <rPr>
        <sz val="10"/>
        <rFont val="Consolas"/>
        <family val="3"/>
        <charset val="204"/>
      </rPr>
      <t>Оформление разрешительных документов, исполнительной документации.</t>
    </r>
    <r>
      <rPr>
        <b/>
        <sz val="10"/>
        <color rgb="FF0000FF"/>
        <rFont val="Consolas"/>
        <family val="3"/>
        <charset val="204"/>
      </rPr>
      <t xml:space="preserve">Без прокладки и стоимости кабеля. Без стоимости оборудования. </t>
    </r>
  </si>
  <si>
    <r>
      <t>СМР, ПИР:  прочее не ограничиваясь перечисленным: установка камеры подъездного видеонаблюдения (уличное пространство перед подъездом)/внутриподъездного видеонаблюдения; подготовка поверхности в независимости от материала к монтажу камеры; подключение к комбайнеру; юстировка, при необходимости установка (замена) видеокодера ПВН, установка конвертера, ПНР. Включает стоимость крепежных материалов и изделий.</t>
    </r>
    <r>
      <rPr>
        <b/>
        <sz val="10"/>
        <color rgb="FFFF0000"/>
        <rFont val="Consolas"/>
        <family val="3"/>
        <charset val="204"/>
      </rPr>
      <t xml:space="preserve">  </t>
    </r>
    <r>
      <rPr>
        <sz val="10"/>
        <color theme="1"/>
        <rFont val="Consolas"/>
        <family val="3"/>
        <charset val="204"/>
      </rPr>
      <t>Оформление разрешительных документов, исполнительной документации.</t>
    </r>
    <r>
      <rPr>
        <b/>
        <sz val="10"/>
        <color rgb="FF0000FF"/>
        <rFont val="Consolas"/>
        <family val="3"/>
        <charset val="204"/>
      </rPr>
      <t>Без прокладки и стоимости кабеля. Без стоимости оборудования.</t>
    </r>
  </si>
  <si>
    <r>
      <t>СМР, ПИР:  прочее не ограничиваясь перечисленным: установка крепежного кронштейна камеры на столбовой опоре,  установка, юстировка камеры,  заделка разъемов, подключение питания, ПНР (с учетом производства строительных и других работ вблизи объектов, находящихся под высоким напряжением, в том числе  в охранной зоне действующей воздушной линии электропередачи). Включает стоимость крепежных материалов и изделий.</t>
    </r>
    <r>
      <rPr>
        <b/>
        <sz val="10"/>
        <color rgb="FFFF0000"/>
        <rFont val="Consolas"/>
        <family val="3"/>
        <charset val="204"/>
      </rPr>
      <t xml:space="preserve"> </t>
    </r>
    <r>
      <rPr>
        <sz val="10"/>
        <color theme="1"/>
        <rFont val="Consolas"/>
        <family val="3"/>
        <charset val="204"/>
      </rPr>
      <t xml:space="preserve"> Оформление разрешительных документов, исполнительной документации.</t>
    </r>
    <r>
      <rPr>
        <b/>
        <sz val="10"/>
        <color rgb="FF0000FF"/>
        <rFont val="Consolas"/>
        <family val="3"/>
        <charset val="204"/>
      </rPr>
      <t>Без прокладки и стоимости кабеля. Без стоимости оборудования.</t>
    </r>
  </si>
  <si>
    <r>
      <t xml:space="preserve">СМР, ПИР:  прочее не ограничиваясь перечисленным:
- установку и крепление оборудования; 
- маркировку оборудования (согласно требованиям Заказчика); 
- юстировка направленной антенны; 
- включение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t>
    </r>
    <r>
      <rPr>
        <b/>
        <sz val="10"/>
        <color rgb="FFFF0000"/>
        <rFont val="Consolas"/>
        <family val="3"/>
        <charset val="204"/>
      </rPr>
      <t xml:space="preserve"> </t>
    </r>
    <r>
      <rPr>
        <sz val="10"/>
        <rFont val="Consolas"/>
        <family val="3"/>
        <charset val="204"/>
      </rPr>
      <t xml:space="preserve"> Оформление разрешительных документов, исполнительной документации.</t>
    </r>
    <r>
      <rPr>
        <b/>
        <sz val="10"/>
        <color rgb="FF0000FF"/>
        <rFont val="Consolas"/>
        <family val="3"/>
        <charset val="204"/>
      </rPr>
      <t>Без прокладки и стоимости кабеля. Без стоимости оборудования.</t>
    </r>
  </si>
  <si>
    <r>
      <t xml:space="preserve">Монтаж оборудования Wi-Fi </t>
    </r>
    <r>
      <rPr>
        <b/>
        <sz val="10"/>
        <color rgb="FF0000FF"/>
        <rFont val="Consolas"/>
        <family val="3"/>
        <charset val="204"/>
      </rPr>
      <t xml:space="preserve">внешнего размещения (Outdoor) </t>
    </r>
    <r>
      <rPr>
        <sz val="10"/>
        <color rgb="FF000000"/>
        <rFont val="Consolas"/>
        <family val="3"/>
        <charset val="204"/>
      </rPr>
      <t xml:space="preserve">
</t>
    </r>
  </si>
  <si>
    <r>
      <t xml:space="preserve">Монтаж оборудования Wi-Fi </t>
    </r>
    <r>
      <rPr>
        <b/>
        <sz val="10"/>
        <color rgb="FF0000FF"/>
        <rFont val="Consolas"/>
        <family val="3"/>
        <charset val="204"/>
      </rPr>
      <t>внутреннего размещения (Indoor)</t>
    </r>
    <r>
      <rPr>
        <sz val="10"/>
        <color rgb="FF000000"/>
        <rFont val="Consolas"/>
        <family val="3"/>
        <charset val="204"/>
      </rPr>
      <t xml:space="preserve"> (офисные помещения, места массового скопления, ТЦ/ТРЦ)
</t>
    </r>
  </si>
  <si>
    <r>
      <t>СМР, ПИР:  прочее не ограничиваясь перечисленным:
- установку и крепление оборудования; 
- маркировку оборудования (согласно требованиям Заказчика); 
- юстировка направленной антенны; 
- включение тестирование согласно требованиям производителя оборудования, указанным в инструкции по монтажу; 
-пуско-наладочные работы, включая программирование точки;
  Оформление разрешительных документов, исполнительной документации.</t>
    </r>
    <r>
      <rPr>
        <b/>
        <sz val="10"/>
        <color rgb="FF0000FF"/>
        <rFont val="Consolas"/>
        <family val="3"/>
        <charset val="204"/>
      </rPr>
      <t>Без прокладки и стоимости кабеля. Без стоимости оборудования.</t>
    </r>
  </si>
  <si>
    <r>
      <t xml:space="preserve">Монтаж на существующих конструкциях, включая затраты на доставку и все необходимые материалы (кабели питания, заземления, патч-корды, гофра и другие расходные материалы).
</t>
    </r>
    <r>
      <rPr>
        <b/>
        <sz val="10"/>
        <color rgb="FF0000FF"/>
        <rFont val="Consolas"/>
        <family val="3"/>
        <charset val="204"/>
      </rPr>
      <t>Стоимость оборудования (антенны) не входит в данную расценку.</t>
    </r>
  </si>
  <si>
    <r>
      <t xml:space="preserve">ПИР,СМР: Монтаж АРМ  в составе, не ограничиваясь перечисленным: видеорегистратор, монитор/мониторы, блок бесперебойного питания, клавиатура и/или мышь, включая их установку, подключение, настройку, тестирование; установку дополнительных жестких дисков в видеорегистратор; установку видеоразветвителей, видеоусилителей, квадраторов, подключение электропитания оборудования.
</t>
    </r>
    <r>
      <rPr>
        <b/>
        <sz val="10"/>
        <color rgb="FF0000FF"/>
        <rFont val="Consolas"/>
        <family val="3"/>
        <charset val="204"/>
      </rPr>
      <t>Без учета стоимости основных материалов.</t>
    </r>
  </si>
  <si>
    <t>Настройка коммутатора
(в т.ч. видеонаблюдение/контроль доступа / беспроводной доступ)</t>
  </si>
  <si>
    <r>
      <t>ПИР, СМР,</t>
    </r>
    <r>
      <rPr>
        <b/>
        <sz val="10"/>
        <rFont val="Consolas"/>
        <family val="3"/>
        <charset val="204"/>
      </rPr>
      <t xml:space="preserve"> </t>
    </r>
    <r>
      <rPr>
        <sz val="10"/>
        <rFont val="Consolas"/>
        <family val="3"/>
        <charset val="204"/>
      </rPr>
      <t xml:space="preserve"> с учетом стоимости  материалов.  Включает прокладку силового кабеля  по существующим конструкциям и измерения, оформление разрешительных документов, исполнительной документации.</t>
    </r>
  </si>
  <si>
    <r>
      <t>ПИР, СМР,</t>
    </r>
    <r>
      <rPr>
        <b/>
        <sz val="10"/>
        <rFont val="Consolas"/>
        <family val="3"/>
        <charset val="204"/>
      </rPr>
      <t xml:space="preserve"> </t>
    </r>
    <r>
      <rPr>
        <sz val="10"/>
        <rFont val="Consolas"/>
        <family val="3"/>
        <charset val="204"/>
      </rPr>
      <t xml:space="preserve"> с учетом расходных и монтажных материалов, стоимости кабеля и трубы ПВХ.  Включает прокладку силового кабеля  по существующим конструкциям и измерения, оформление разрешительных документов, исполнительной документации.</t>
    </r>
  </si>
  <si>
    <r>
      <t xml:space="preserve">ПИР, СМР: разработка грунта в траншее, отвозка лишнего грунта, доставка песка, устройство постели из песка, прокладка и монтаж кабеля (включая вывод кабеля на стену/опору, ввод кабеля в здание по существующему каналу с пробивкой и заделкой герметизации, внутриобъектовые работы), покрытие кабеля кирпичом/плитами, засыпка траншеи песком,  стоимость кабеля, прокладка и стоимость опознавательной ленты, оплата подключений к существующим сетям, согласования, оформление договоров аренды на период строительства, рекультивация земель. </t>
    </r>
    <r>
      <rPr>
        <b/>
        <sz val="10"/>
        <color theme="1"/>
        <rFont val="Consolas"/>
        <family val="3"/>
        <charset val="204"/>
      </rPr>
      <t>Проведение всех измерений, оформление исполнительной документации.</t>
    </r>
    <r>
      <rPr>
        <sz val="10"/>
        <color theme="1"/>
        <rFont val="Consolas"/>
        <family val="3"/>
        <charset val="204"/>
      </rPr>
      <t xml:space="preserve">
</t>
    </r>
  </si>
  <si>
    <r>
      <t>ПИР, СМР: с учетом стоимости материалов.</t>
    </r>
    <r>
      <rPr>
        <b/>
        <sz val="10"/>
        <color rgb="FFFF0000"/>
        <rFont val="Consolas"/>
        <family val="3"/>
        <charset val="204"/>
      </rPr>
      <t xml:space="preserve"> </t>
    </r>
    <r>
      <rPr>
        <b/>
        <sz val="10"/>
        <color rgb="FF0000FF"/>
        <rFont val="Consolas"/>
        <family val="3"/>
        <charset val="204"/>
      </rPr>
      <t>Без учета стоимости счетчика.</t>
    </r>
  </si>
  <si>
    <r>
      <t xml:space="preserve">Установка автоматического выключателя (220В,50Гц), с номинальным током </t>
    </r>
    <r>
      <rPr>
        <b/>
        <sz val="10"/>
        <color rgb="FFFF0000"/>
        <rFont val="Consolas"/>
        <family val="3"/>
        <charset val="204"/>
      </rPr>
      <t>до 32 А</t>
    </r>
    <r>
      <rPr>
        <sz val="10"/>
        <color theme="1"/>
        <rFont val="Consolas"/>
        <family val="3"/>
        <charset val="204"/>
      </rPr>
      <t xml:space="preserve"> во вводно-распределительном устройстве здания с подключением до счетчика общедомового учёта (с учётом стоимости автоматического выключателя).</t>
    </r>
  </si>
  <si>
    <r>
      <t xml:space="preserve">ПИР, СМР. Применяется при необходимости монтажа ЩРЗ, ЩГ и ЩК с автоматами. С учетом стоимости оборудования и материалов.  Включает установку автоматов, прокладку силового кабеля длиной </t>
    </r>
    <r>
      <rPr>
        <b/>
        <sz val="10"/>
        <color rgb="FFFF0000"/>
        <rFont val="Consolas"/>
        <family val="3"/>
        <charset val="204"/>
      </rPr>
      <t>20 м</t>
    </r>
    <r>
      <rPr>
        <sz val="10"/>
        <color theme="1"/>
        <rFont val="Consolas"/>
        <family val="3"/>
        <charset val="204"/>
      </rPr>
      <t xml:space="preserve"> и кабеля заземления, установку ЩРЗ, подключение, измерения, стоимость оборудования ЩРЗ, ЩГ и ЩК с автоматами и прочих материалов для подключения.</t>
    </r>
  </si>
  <si>
    <r>
      <t xml:space="preserve">Прокладка и монтаж силового кабеля ёмкостью </t>
    </r>
    <r>
      <rPr>
        <b/>
        <sz val="10"/>
        <color rgb="FFFF0000"/>
        <rFont val="Consolas"/>
        <family val="3"/>
        <charset val="204"/>
      </rPr>
      <t xml:space="preserve">до 5х16 мм² </t>
    </r>
    <r>
      <rPr>
        <b/>
        <sz val="10"/>
        <color rgb="FF0000FF"/>
        <rFont val="Consolas"/>
        <family val="3"/>
        <charset val="204"/>
      </rPr>
      <t>по опорам/конструкциям/стенам, включая внутриобъектовую прокладку</t>
    </r>
    <r>
      <rPr>
        <sz val="10"/>
        <rFont val="Consolas"/>
        <family val="3"/>
        <charset val="204"/>
      </rPr>
      <t xml:space="preserve"> для различных подключений</t>
    </r>
  </si>
  <si>
    <r>
      <t>Прокладка и монтаж силового кабеля ёмкостью</t>
    </r>
    <r>
      <rPr>
        <b/>
        <sz val="10"/>
        <color rgb="FFFF0000"/>
        <rFont val="Consolas"/>
        <family val="3"/>
        <charset val="204"/>
      </rPr>
      <t xml:space="preserve"> до 4х6 мм²</t>
    </r>
    <r>
      <rPr>
        <sz val="10"/>
        <rFont val="Consolas"/>
        <family val="3"/>
        <charset val="204"/>
      </rPr>
      <t xml:space="preserve"> </t>
    </r>
    <r>
      <rPr>
        <b/>
        <sz val="10"/>
        <color rgb="FF0000FF"/>
        <rFont val="Consolas"/>
        <family val="3"/>
        <charset val="204"/>
      </rPr>
      <t>по опорам/конструкциям/стенам, включая внутриобъектовую прокладку</t>
    </r>
    <r>
      <rPr>
        <sz val="10"/>
        <rFont val="Consolas"/>
        <family val="3"/>
        <charset val="204"/>
      </rPr>
      <t xml:space="preserve"> для различных подключений</t>
    </r>
  </si>
  <si>
    <r>
      <t>Прокладка и монтаж силового кабеля типа ВВГ/ПВС емкостью</t>
    </r>
    <r>
      <rPr>
        <b/>
        <sz val="10"/>
        <color rgb="FFFF0000"/>
        <rFont val="Consolas"/>
        <family val="3"/>
        <charset val="204"/>
      </rPr>
      <t xml:space="preserve"> до 3х2,5  мм²</t>
    </r>
    <r>
      <rPr>
        <sz val="10"/>
        <color theme="1"/>
        <rFont val="Consolas"/>
        <family val="3"/>
        <charset val="204"/>
      </rPr>
      <t xml:space="preserve"> </t>
    </r>
    <r>
      <rPr>
        <b/>
        <sz val="10"/>
        <color rgb="FF0000FF"/>
        <rFont val="Consolas"/>
        <family val="3"/>
        <charset val="204"/>
      </rPr>
      <t>по установленным конструкциям (труба/короб/гофра/металлорукав)</t>
    </r>
    <r>
      <rPr>
        <sz val="10"/>
        <color theme="1"/>
        <rFont val="Consolas"/>
        <family val="3"/>
        <charset val="204"/>
      </rPr>
      <t xml:space="preserve"> с разводкой жил по приборам </t>
    </r>
  </si>
  <si>
    <r>
      <t xml:space="preserve">Прокладка и монтаж силового кабеля типа ВВГ/ПВС емкостью </t>
    </r>
    <r>
      <rPr>
        <b/>
        <sz val="10"/>
        <color rgb="FFFF0000"/>
        <rFont val="Consolas"/>
        <family val="3"/>
        <charset val="204"/>
      </rPr>
      <t>до 3х2,5  мм²</t>
    </r>
    <r>
      <rPr>
        <sz val="10"/>
        <color theme="1"/>
        <rFont val="Consolas"/>
        <family val="3"/>
        <charset val="204"/>
      </rPr>
      <t xml:space="preserve"> </t>
    </r>
    <r>
      <rPr>
        <b/>
        <sz val="10"/>
        <color rgb="FF0000FF"/>
        <rFont val="Consolas"/>
        <family val="3"/>
        <charset val="204"/>
      </rPr>
      <t>по проектируемым конструкциям: трубе/коробу/гофре с их установкой</t>
    </r>
    <r>
      <rPr>
        <sz val="10"/>
        <color theme="1"/>
        <rFont val="Consolas"/>
        <family val="3"/>
        <charset val="204"/>
      </rPr>
      <t xml:space="preserve"> </t>
    </r>
  </si>
  <si>
    <r>
      <t xml:space="preserve">Прокладка и монтаж силового кабеля типа ВВГ емкостью </t>
    </r>
    <r>
      <rPr>
        <b/>
        <sz val="10"/>
        <color rgb="FFFF0000"/>
        <rFont val="Consolas"/>
        <family val="3"/>
        <charset val="204"/>
      </rPr>
      <t>до 3х2,5  мм²</t>
    </r>
    <r>
      <rPr>
        <sz val="10"/>
        <color theme="1"/>
        <rFont val="Consolas"/>
        <family val="3"/>
        <charset val="204"/>
      </rPr>
      <t xml:space="preserve"> </t>
    </r>
    <r>
      <rPr>
        <b/>
        <sz val="10"/>
        <color rgb="FF0000FF"/>
        <rFont val="Consolas"/>
        <family val="3"/>
        <charset val="204"/>
      </rPr>
      <t xml:space="preserve">по проектируемому металлорукаву с его установкой </t>
    </r>
  </si>
  <si>
    <r>
      <t xml:space="preserve">Прокладка и монтаж силового кабеля типа ВВГ/ПВС емкостью </t>
    </r>
    <r>
      <rPr>
        <b/>
        <sz val="10"/>
        <color rgb="FFFF0000"/>
        <rFont val="Consolas"/>
        <family val="3"/>
        <charset val="204"/>
      </rPr>
      <t>до 3х2,5  мм²</t>
    </r>
    <r>
      <rPr>
        <sz val="10"/>
        <color theme="1"/>
        <rFont val="Consolas"/>
        <family val="3"/>
        <charset val="204"/>
      </rPr>
      <t xml:space="preserve"> </t>
    </r>
    <r>
      <rPr>
        <b/>
        <sz val="10"/>
        <color rgb="FF0000FF"/>
        <rFont val="Consolas"/>
        <family val="3"/>
        <charset val="204"/>
      </rPr>
      <t xml:space="preserve">по стене с креплением  скобами (открытая проводка) </t>
    </r>
    <r>
      <rPr>
        <sz val="10"/>
        <color theme="1"/>
        <rFont val="Consolas"/>
        <family val="3"/>
        <charset val="204"/>
      </rPr>
      <t xml:space="preserve"> </t>
    </r>
  </si>
  <si>
    <r>
      <t xml:space="preserve">Прокладка и монтаж силового кабеля типа ВВГ/ПВС емкостью </t>
    </r>
    <r>
      <rPr>
        <b/>
        <sz val="10"/>
        <color rgb="FFFF0000"/>
        <rFont val="Consolas"/>
        <family val="3"/>
        <charset val="204"/>
      </rPr>
      <t xml:space="preserve">до 3х2,5  мм² </t>
    </r>
    <r>
      <rPr>
        <sz val="10"/>
        <color theme="1"/>
        <rFont val="Consolas"/>
        <family val="3"/>
        <charset val="204"/>
      </rPr>
      <t xml:space="preserve"> </t>
    </r>
    <r>
      <rPr>
        <b/>
        <sz val="10"/>
        <color rgb="FF0000FF"/>
        <rFont val="Consolas"/>
        <family val="3"/>
        <charset val="204"/>
      </rPr>
      <t xml:space="preserve">по стене с устройством и заделкой борозды  (скрытая проводка) </t>
    </r>
    <r>
      <rPr>
        <sz val="10"/>
        <color theme="1"/>
        <rFont val="Consolas"/>
        <family val="3"/>
        <charset val="204"/>
      </rPr>
      <t xml:space="preserve"> </t>
    </r>
  </si>
  <si>
    <r>
      <t>Прокладка и монтаж силового кабеля ёмкостью</t>
    </r>
    <r>
      <rPr>
        <b/>
        <sz val="10"/>
        <color rgb="FFFF0000"/>
        <rFont val="Consolas"/>
        <family val="3"/>
        <charset val="204"/>
      </rPr>
      <t xml:space="preserve"> до 5х16мм2</t>
    </r>
    <r>
      <rPr>
        <sz val="10"/>
        <color theme="1"/>
        <rFont val="Consolas"/>
        <family val="3"/>
        <charset val="204"/>
      </rPr>
      <t xml:space="preserve"> </t>
    </r>
    <r>
      <rPr>
        <b/>
        <sz val="10"/>
        <color rgb="FF0000FF"/>
        <rFont val="Consolas"/>
        <family val="3"/>
        <charset val="204"/>
      </rPr>
      <t>по опорам/конструкциям/стенам, включая внутриобъектовую прокладку</t>
    </r>
    <r>
      <rPr>
        <sz val="10"/>
        <color theme="1"/>
        <rFont val="Consolas"/>
        <family val="3"/>
        <charset val="204"/>
      </rPr>
      <t xml:space="preserve"> для различных подключений </t>
    </r>
    <r>
      <rPr>
        <b/>
        <sz val="10"/>
        <color rgb="FFFF0000"/>
        <rFont val="Consolas"/>
        <family val="3"/>
        <charset val="204"/>
      </rPr>
      <t>сверх 20/50 м</t>
    </r>
  </si>
  <si>
    <r>
      <t xml:space="preserve">Прокладка и монтаж кабеля силового ВБбШв (или аналог)  емкостью </t>
    </r>
    <r>
      <rPr>
        <b/>
        <sz val="10"/>
        <color rgb="FFFF0000"/>
        <rFont val="Consolas"/>
        <family val="3"/>
        <charset val="204"/>
      </rPr>
      <t>от 2х16 до 5х16 мм2</t>
    </r>
    <r>
      <rPr>
        <sz val="10"/>
        <color theme="1"/>
        <rFont val="Consolas"/>
        <family val="3"/>
        <charset val="204"/>
      </rPr>
      <t xml:space="preserve"> </t>
    </r>
    <r>
      <rPr>
        <b/>
        <sz val="10"/>
        <color rgb="FF0000FF"/>
        <rFont val="Consolas"/>
        <family val="3"/>
        <charset val="204"/>
      </rPr>
      <t xml:space="preserve">в грунте </t>
    </r>
  </si>
  <si>
    <r>
      <t xml:space="preserve">Прокладка и монтаж силового кабеля ёмкостью </t>
    </r>
    <r>
      <rPr>
        <b/>
        <sz val="10"/>
        <color rgb="FFFF0000"/>
        <rFont val="Consolas"/>
        <family val="3"/>
        <charset val="204"/>
      </rPr>
      <t>до 4х2,5мм2</t>
    </r>
    <r>
      <rPr>
        <sz val="10"/>
        <color theme="1"/>
        <rFont val="Consolas"/>
        <family val="3"/>
        <charset val="204"/>
      </rPr>
      <t xml:space="preserve"> </t>
    </r>
    <r>
      <rPr>
        <b/>
        <sz val="10"/>
        <color rgb="FF0000FF"/>
        <rFont val="Consolas"/>
        <family val="3"/>
        <charset val="204"/>
      </rPr>
      <t>по опорам/конструкциям/стенам, включая внутриобъектовую прокладку</t>
    </r>
    <r>
      <rPr>
        <sz val="10"/>
        <color theme="1"/>
        <rFont val="Consolas"/>
        <family val="3"/>
        <charset val="204"/>
      </rPr>
      <t xml:space="preserve"> для различных подключений сверх 20/50 м</t>
    </r>
  </si>
  <si>
    <r>
      <t xml:space="preserve">Прокладка и монтаж силового кабеля ёмкостью </t>
    </r>
    <r>
      <rPr>
        <b/>
        <sz val="10"/>
        <color rgb="FFFF0000"/>
        <rFont val="Consolas"/>
        <family val="3"/>
        <charset val="204"/>
      </rPr>
      <t>до 3х2,5мм2</t>
    </r>
    <r>
      <rPr>
        <sz val="10"/>
        <color theme="1"/>
        <rFont val="Consolas"/>
        <family val="3"/>
        <charset val="204"/>
      </rPr>
      <t xml:space="preserve"> для различных подключений </t>
    </r>
    <r>
      <rPr>
        <b/>
        <sz val="10"/>
        <color rgb="FFFF0000"/>
        <rFont val="Consolas"/>
        <family val="3"/>
        <charset val="204"/>
      </rPr>
      <t>сверх 20/50 м</t>
    </r>
  </si>
  <si>
    <r>
      <t>Проведение измерений
электромагнитного излучения от
РЭС Заказчика. Получение Санитарно-эпидемиологического и экспертного заключения тер.управления (ТУ) Роспотребнадзора с разрешением</t>
    </r>
    <r>
      <rPr>
        <b/>
        <sz val="10"/>
        <rFont val="Consolas"/>
        <family val="3"/>
        <charset val="204"/>
      </rPr>
      <t xml:space="preserve"> эксплуатировать РЭС (форма  Р2)</t>
    </r>
  </si>
  <si>
    <r>
      <t xml:space="preserve">Выполнение работ по измерению электромагнитного излучения (ЭМИ) антенн РЭС Заказчика: 
-организация выезда представителей ТУ Роспотребнадзора для  измерения ЭМИ; 
-получение в Роспотребнадзоре разрешения на эксплуатацию (форма Р2);
-получение протокола измерений, заключения и </t>
    </r>
    <r>
      <rPr>
        <b/>
        <sz val="10"/>
        <rFont val="Consolas"/>
        <family val="3"/>
        <charset val="204"/>
      </rPr>
      <t>разрешения на эксплуатацию</t>
    </r>
    <r>
      <rPr>
        <sz val="10"/>
        <rFont val="Consolas"/>
        <family val="3"/>
        <charset val="204"/>
      </rPr>
      <t>. 
Расчет стоимости производится за объект в целом. В стоимость работ входят услуги по получению положительного Заключения на объект в целом, включая стоимость протокола измерений, содержащего результаты измерений ЭМИ по каждой антенне, экспертизу измерений и  разрешение на эксплуатацию.</t>
    </r>
  </si>
  <si>
    <r>
      <t xml:space="preserve">Получение </t>
    </r>
    <r>
      <rPr>
        <b/>
        <sz val="10"/>
        <rFont val="Consolas"/>
        <family val="3"/>
        <charset val="204"/>
      </rPr>
      <t>заключения промбезопастности (ЭПБ)</t>
    </r>
    <r>
      <rPr>
        <sz val="10"/>
        <rFont val="Consolas"/>
        <family val="3"/>
        <charset val="204"/>
      </rPr>
      <t xml:space="preserve"> для вновь устанавливаемого оборудования, включая необходимые согласования, в том числе и в Ростехнадзоре, а так же </t>
    </r>
    <r>
      <rPr>
        <b/>
        <sz val="10"/>
        <rFont val="Consolas"/>
        <family val="3"/>
        <charset val="204"/>
      </rPr>
      <t xml:space="preserve">заключение о несущей способности </t>
    </r>
    <r>
      <rPr>
        <sz val="10"/>
        <rFont val="Consolas"/>
        <family val="3"/>
        <charset val="204"/>
      </rPr>
      <t>для труб и других промышленно-опасных объектов</t>
    </r>
  </si>
  <si>
    <r>
      <t xml:space="preserve">Сборка и монтаж узла РРС на объекте с  антенной  </t>
    </r>
    <r>
      <rPr>
        <b/>
        <sz val="10"/>
        <color rgb="FFFF0000"/>
        <rFont val="Consolas"/>
        <family val="3"/>
        <charset val="204"/>
      </rPr>
      <t xml:space="preserve">Ø 0,3-0,6 м </t>
    </r>
  </si>
  <si>
    <r>
      <t>Сборка и монтаж узла РРС на объекты с  антенной</t>
    </r>
    <r>
      <rPr>
        <b/>
        <sz val="10"/>
        <color rgb="FFFF0000"/>
        <rFont val="Consolas"/>
        <family val="3"/>
        <charset val="204"/>
      </rPr>
      <t xml:space="preserve"> Ø 0,3-0,6 м </t>
    </r>
  </si>
  <si>
    <r>
      <t xml:space="preserve">Сборка и монтаж узла РРС на объекте с  антенной </t>
    </r>
    <r>
      <rPr>
        <b/>
        <sz val="10"/>
        <color rgb="FFFF0000"/>
        <rFont val="Consolas"/>
        <family val="3"/>
        <charset val="204"/>
      </rPr>
      <t xml:space="preserve"> Ø 0,9-1,2 м </t>
    </r>
  </si>
  <si>
    <r>
      <t>Сборка и монтаж узла РРС на объекте с  антенной</t>
    </r>
    <r>
      <rPr>
        <b/>
        <sz val="10"/>
        <color rgb="FFFF0000"/>
        <rFont val="Consolas"/>
        <family val="3"/>
        <charset val="204"/>
      </rPr>
      <t xml:space="preserve"> Ø 0,9-1,2 м </t>
    </r>
  </si>
  <si>
    <r>
      <t xml:space="preserve">Монтаж на существующих конструкциях, включая затраты на доставку и все необходимые материалы (кабели питания, заземления, патч-корды, гофра и другие расходные материалы).
Монтаж  и ПНР  ODU, IDU, прокладка АФУ, кабелей питания, заземления, кроссировочных и коммутационных работ
</t>
    </r>
    <r>
      <rPr>
        <b/>
        <sz val="10"/>
        <color rgb="FF0000FF"/>
        <rFont val="Consolas"/>
        <family val="3"/>
        <charset val="204"/>
      </rPr>
      <t>Стоимость оборудования РРС не входит в данную расценку.</t>
    </r>
  </si>
  <si>
    <r>
      <t xml:space="preserve">Монтаж на проектируемых конструкциях включая (Цена включает затраты на монтажные материалы и доставку):
- Создание места для размещения антенны Радиорелейной станции на крыше, стене или парапете  стандартным креплением (включая доставку и монтаж,  стоимость трубостойки и всех сопутствующих материалов).
- Монтаж провода заземления либо заземление на существующий контур молниезащиты
Монтаж  и ПНР  ODU, IDU, прокладка АФУ, кабелей питания, заземления, кроссировочных и коммутационных работ
</t>
    </r>
    <r>
      <rPr>
        <b/>
        <sz val="10"/>
        <color rgb="FF0000FF"/>
        <rFont val="Consolas"/>
        <family val="3"/>
        <charset val="204"/>
      </rPr>
      <t>Стоимость оборудования РРС не входит в данную расценку.</t>
    </r>
  </si>
  <si>
    <r>
      <t xml:space="preserve">Монтаж и ПНР абонентского блока оборудования БШПД,  абонентского блока 3G/4G </t>
    </r>
    <r>
      <rPr>
        <b/>
        <sz val="10"/>
        <color rgb="FF0000FF"/>
        <rFont val="Consolas"/>
        <family val="3"/>
        <charset val="204"/>
      </rPr>
      <t>(outdoor)</t>
    </r>
    <r>
      <rPr>
        <sz val="10"/>
        <color theme="1"/>
        <rFont val="Consolas"/>
        <family val="3"/>
        <charset val="204"/>
      </rPr>
      <t xml:space="preserve">
</t>
    </r>
  </si>
  <si>
    <r>
      <t xml:space="preserve">Применяется в случае заказа комплекса работ на станционной стороне.
 Состав работ в соответствии с рабочей документацией. 
Позиция предусматривает: 
- установку и крепление оборудования БС; 
- заземление оборудования БС (включая, при необходимости, изготовление кабелей); 
- разделку и подключение (при необходимости изготовление) проводов и кабелей к оборудованию БС; 
- прокладку и крепление проводов и кабелей, используемых при монтаже оборудования БС; 
- разделку и подключение проводов и кабелей к системе электропитания; 
- разделку и подключение проводов и кабелей на кроссе (включая монтаж плинтов); 
- маркировку оборудования БС (согласно требованиям Заказчика); 
- маркировку автоматов защиты оборудования БС (согласно требованиям Заказчика); 
- маркировку проводов и кабелей (согласно требованиям Заказчика); 
- маркировку кроссового оборудования (согласно требованиям Заказчика); 
- включение электропитания и тестирование согласно требованиям производителя оборудования, указанным в инструкции по монтажу; 
- загрузку конфигурационных файлов на сетевой элемент; 
 -подготовку исполнительной документации; 
- тестирование и сдача-приемка сетевого элемента по утверждённой Заказчиком процедуре Сдачи-Приёмки; Результат работы: 
- новый сетевой элемент полностью подготовлен к интеграции в сетевое окружение и сдан Заказчику по утвержденной процедуре. 
Цена включает затраты на кабели питания, заземления, кабель UTP/FTP длиной </t>
    </r>
    <r>
      <rPr>
        <b/>
        <sz val="10"/>
        <color rgb="FFFF0000"/>
        <rFont val="Consolas"/>
        <family val="3"/>
        <charset val="204"/>
      </rPr>
      <t>до 100 метров</t>
    </r>
    <r>
      <rPr>
        <sz val="10"/>
        <color theme="1"/>
        <rFont val="Consolas"/>
        <family val="3"/>
        <charset val="204"/>
      </rPr>
      <t>, гофру и металлорукав для защиты этого кабеля, расходные материалы и доставку.</t>
    </r>
  </si>
  <si>
    <r>
      <t xml:space="preserve">Позиция предусматривает: 
- установку и крепление оборудования; 
- прокладку и крепление проводов и кабелей, используемых при монтаже оборудования БС; 
- разделку и подключение проводов и кабелей к системе электропитания; 
- маркировку оборудования (согласно требованиям Заказчика); 
- юстировка абонентского блока; 
- включение электропитания и тестирование согласно требованиям производителя оборудования, указанным в инструкции по монтажу,
 -подготовку исполнительной документации.
Цена включает затраты на кабели питания, заземления, кабель UTP/FTP длиной </t>
    </r>
    <r>
      <rPr>
        <b/>
        <sz val="10"/>
        <color rgb="FFFF0000"/>
        <rFont val="Consolas"/>
        <family val="3"/>
        <charset val="204"/>
      </rPr>
      <t>до 100 метров</t>
    </r>
    <r>
      <rPr>
        <sz val="10"/>
        <color theme="1"/>
        <rFont val="Consolas"/>
        <family val="3"/>
        <charset val="204"/>
      </rPr>
      <t>, гофру и металлорукав для защиты этого кабеля, расходные материалы и доставку.</t>
    </r>
  </si>
  <si>
    <r>
      <t xml:space="preserve">Антенна d - </t>
    </r>
    <r>
      <rPr>
        <b/>
        <sz val="10"/>
        <color rgb="FFFF0000"/>
        <rFont val="Consolas"/>
        <family val="3"/>
        <charset val="204"/>
      </rPr>
      <t>1,2м и менее</t>
    </r>
  </si>
  <si>
    <r>
      <t xml:space="preserve">Антенна </t>
    </r>
    <r>
      <rPr>
        <b/>
        <sz val="10"/>
        <color rgb="FFFF0000"/>
        <rFont val="Consolas"/>
        <family val="3"/>
        <charset val="204"/>
      </rPr>
      <t>от d - 1,2м до d- 1,8м</t>
    </r>
  </si>
  <si>
    <r>
      <t xml:space="preserve">Применяется дополнительно к расценке </t>
    </r>
    <r>
      <rPr>
        <b/>
        <sz val="10"/>
        <color rgb="FF0000FF"/>
        <rFont val="Consolas"/>
        <family val="3"/>
        <charset val="204"/>
      </rPr>
      <t>7.18.</t>
    </r>
    <r>
      <rPr>
        <sz val="10"/>
        <rFont val="Consolas"/>
        <family val="3"/>
        <charset val="204"/>
      </rPr>
      <t xml:space="preserve"> Включает: ПИР, СМР, включая строительство контура заземления, организация  ГШЗ и ее соединение с контуром заземления, с учетом материалов. Проведение измерения сопротивления заземляющего устройства.</t>
    </r>
  </si>
  <si>
    <r>
      <t xml:space="preserve">высотой </t>
    </r>
    <r>
      <rPr>
        <b/>
        <sz val="10"/>
        <color rgb="FFFF0000"/>
        <rFont val="Consolas"/>
        <family val="3"/>
        <charset val="204"/>
      </rPr>
      <t>27 -30 м</t>
    </r>
  </si>
  <si>
    <r>
      <t xml:space="preserve">высотой </t>
    </r>
    <r>
      <rPr>
        <b/>
        <sz val="10"/>
        <color rgb="FFFF0000"/>
        <rFont val="Consolas"/>
        <family val="3"/>
        <charset val="204"/>
      </rPr>
      <t>31 -40 м</t>
    </r>
  </si>
  <si>
    <r>
      <t xml:space="preserve">высотой </t>
    </r>
    <r>
      <rPr>
        <b/>
        <sz val="10"/>
        <color rgb="FFFF0000"/>
        <rFont val="Consolas"/>
        <family val="3"/>
        <charset val="204"/>
      </rPr>
      <t>11-21 м</t>
    </r>
  </si>
  <si>
    <r>
      <t xml:space="preserve">высотой </t>
    </r>
    <r>
      <rPr>
        <b/>
        <sz val="10"/>
        <color rgb="FFFF0000"/>
        <rFont val="Consolas"/>
        <family val="3"/>
        <charset val="204"/>
      </rPr>
      <t>22- 26 м</t>
    </r>
  </si>
  <si>
    <t>Может применяться с работами других разделов, при наличии обоснования для использования</t>
  </si>
  <si>
    <r>
      <t xml:space="preserve"> для АМС высотой</t>
    </r>
    <r>
      <rPr>
        <b/>
        <sz val="10"/>
        <color rgb="FFFF0000"/>
        <rFont val="Consolas"/>
        <family val="3"/>
        <charset val="204"/>
      </rPr>
      <t xml:space="preserve"> до 30 м</t>
    </r>
  </si>
  <si>
    <r>
      <t xml:space="preserve"> для АМС высотой </t>
    </r>
    <r>
      <rPr>
        <b/>
        <sz val="10"/>
        <color rgb="FFFF0000"/>
        <rFont val="Consolas"/>
        <family val="3"/>
        <charset val="204"/>
      </rPr>
      <t xml:space="preserve"> от 30 до 40 м</t>
    </r>
  </si>
  <si>
    <r>
      <t xml:space="preserve"> для АМС высотой </t>
    </r>
    <r>
      <rPr>
        <b/>
        <sz val="10"/>
        <color rgb="FFFF0000"/>
        <rFont val="Consolas"/>
        <family val="3"/>
        <charset val="204"/>
      </rPr>
      <t>более 40 м</t>
    </r>
  </si>
  <si>
    <t>от стоимости монтажа в %</t>
  </si>
  <si>
    <t xml:space="preserve">ПИР СКС </t>
  </si>
  <si>
    <r>
      <t xml:space="preserve">СМР, независимо от материалов поверхности, включая сопутствующие работы: подгонка длин, сборка и установка комплектующих, </t>
    </r>
    <r>
      <rPr>
        <b/>
        <sz val="10"/>
        <color theme="1"/>
        <rFont val="Consolas"/>
        <family val="3"/>
        <charset val="204"/>
      </rPr>
      <t>стоимость основных и крепежных материалов</t>
    </r>
    <r>
      <rPr>
        <sz val="10"/>
        <color theme="1"/>
        <rFont val="Consolas"/>
        <family val="3"/>
        <charset val="204"/>
      </rPr>
      <t>.</t>
    </r>
  </si>
  <si>
    <r>
      <t xml:space="preserve">СМР, независимо от материалов поверхности, включая сопутствующие работы: подгонка длин, сборка и установка комплектующих, </t>
    </r>
    <r>
      <rPr>
        <b/>
        <sz val="10"/>
        <color theme="1"/>
        <rFont val="Consolas"/>
        <family val="3"/>
        <charset val="204"/>
      </rPr>
      <t>стоимость основных и крепежных материалов.</t>
    </r>
  </si>
  <si>
    <r>
      <t>СМР, независимо от материалов поверхности, включая сопутствующие работы: подгонка длин,</t>
    </r>
    <r>
      <rPr>
        <b/>
        <sz val="10"/>
        <color theme="1"/>
        <rFont val="Consolas"/>
        <family val="3"/>
        <charset val="204"/>
      </rPr>
      <t xml:space="preserve"> стоимость основных и  крепежных материалов.</t>
    </r>
  </si>
  <si>
    <r>
      <t xml:space="preserve">СМР, независимо от материалов поверхности, включая сопутствующие работы: подгонка длин, </t>
    </r>
    <r>
      <rPr>
        <b/>
        <sz val="10"/>
        <color theme="1"/>
        <rFont val="Consolas"/>
        <family val="3"/>
        <charset val="204"/>
      </rPr>
      <t>стоимость основных и  крепежных материалов.</t>
    </r>
  </si>
  <si>
    <r>
      <t>Монтаж кабельных лотков потолочного/настенного типа, включая работы по установке узлов крепления, фурнитуры, поворотных элементов, сопутствующих работ, заземления (при необходимости),</t>
    </r>
    <r>
      <rPr>
        <b/>
        <sz val="10"/>
        <color theme="1"/>
        <rFont val="Consolas"/>
        <family val="3"/>
        <charset val="204"/>
      </rPr>
      <t xml:space="preserve"> стоимость основных и  крепежных материалов. </t>
    </r>
  </si>
  <si>
    <r>
      <t xml:space="preserve">Прокладка и монтаж кабель каналов, коробов ПВХ по конструкциям размером  </t>
    </r>
    <r>
      <rPr>
        <b/>
        <sz val="10"/>
        <color rgb="FFFF0000"/>
        <rFont val="Consolas"/>
        <family val="3"/>
        <charset val="204"/>
      </rPr>
      <t>80х60мм</t>
    </r>
  </si>
  <si>
    <r>
      <t xml:space="preserve">Прокладка и монтаж  кабель каналов, коробов ПВХ по конструкциям размером  </t>
    </r>
    <r>
      <rPr>
        <b/>
        <sz val="10"/>
        <color rgb="FFFF0000"/>
        <rFont val="Consolas"/>
        <family val="3"/>
        <charset val="204"/>
      </rPr>
      <t>100Х60</t>
    </r>
  </si>
  <si>
    <r>
      <t xml:space="preserve">Прокладка и монтаж  кабель каналов, коробов ПВХ по конструкциям размером </t>
    </r>
    <r>
      <rPr>
        <b/>
        <sz val="10"/>
        <color rgb="FFFF0000"/>
        <rFont val="Consolas"/>
        <family val="3"/>
        <charset val="204"/>
      </rPr>
      <t>более 100Х60</t>
    </r>
  </si>
  <si>
    <r>
      <t xml:space="preserve">Прокладка и монтаж трубы (жесткая оцинкованная) по конструкциям Д </t>
    </r>
    <r>
      <rPr>
        <b/>
        <sz val="10"/>
        <color rgb="FFFF0000"/>
        <rFont val="Consolas"/>
        <family val="3"/>
        <charset val="204"/>
      </rPr>
      <t>до 50 мм</t>
    </r>
  </si>
  <si>
    <r>
      <t xml:space="preserve">Прокладка и монтаж гофры, по конструкциям Д </t>
    </r>
    <r>
      <rPr>
        <b/>
        <sz val="10"/>
        <color rgb="FFFF0000"/>
        <rFont val="Consolas"/>
        <family val="3"/>
        <charset val="204"/>
      </rPr>
      <t xml:space="preserve">до 50 мм </t>
    </r>
  </si>
  <si>
    <r>
      <t xml:space="preserve">Прокладка и монтаж кабельных ( в т.ч. перфорированных, металлических) лотков </t>
    </r>
    <r>
      <rPr>
        <b/>
        <sz val="10"/>
        <color rgb="FFFF0000"/>
        <rFont val="Consolas"/>
        <family val="3"/>
        <charset val="204"/>
      </rPr>
      <t>до 200 мм,</t>
    </r>
    <r>
      <rPr>
        <sz val="10"/>
        <color theme="1"/>
        <rFont val="Consolas"/>
        <family val="3"/>
        <charset val="204"/>
      </rPr>
      <t xml:space="preserve"> со всеми комплектующими (крышка, заглушки, повороты, соединительные элементы и прочее)</t>
    </r>
  </si>
  <si>
    <r>
      <t>Прокладка и монтаж кабельных ( в т.ч.  перфорированных, металлических) лотков</t>
    </r>
    <r>
      <rPr>
        <b/>
        <sz val="10"/>
        <color rgb="FFFF0000"/>
        <rFont val="Consolas"/>
        <family val="3"/>
        <charset val="204"/>
      </rPr>
      <t xml:space="preserve"> до 600 мм,</t>
    </r>
    <r>
      <rPr>
        <sz val="10"/>
        <color theme="1"/>
        <rFont val="Consolas"/>
        <family val="3"/>
        <charset val="204"/>
      </rPr>
      <t xml:space="preserve"> со всеми комплектующими (крышка, заглушки, повороты, соединительные элементы и прочее)</t>
    </r>
  </si>
  <si>
    <r>
      <t xml:space="preserve">Прокладка, монтаж, трассировка силового кабеля (провода) емкостью </t>
    </r>
    <r>
      <rPr>
        <b/>
        <sz val="10"/>
        <color rgb="FFFF0000"/>
        <rFont val="Consolas"/>
        <family val="3"/>
        <charset val="204"/>
      </rPr>
      <t>до  5х70 мм2</t>
    </r>
    <r>
      <rPr>
        <sz val="10"/>
        <color theme="1"/>
        <rFont val="Consolas"/>
        <family val="3"/>
        <charset val="204"/>
      </rPr>
      <t>, в коробе, в лотке, кабельном канале, трубе, гофре,металлорукаве  и т.д.</t>
    </r>
  </si>
  <si>
    <r>
      <t xml:space="preserve">Прокладка, монтаж, трассировка кабеля  UTP  cat 5e, 6е </t>
    </r>
    <r>
      <rPr>
        <b/>
        <sz val="10"/>
        <color rgb="FFFF0000"/>
        <rFont val="Consolas"/>
        <family val="3"/>
        <charset val="204"/>
      </rPr>
      <t>до 4 пар</t>
    </r>
    <r>
      <rPr>
        <sz val="10"/>
        <rFont val="Consolas"/>
        <family val="3"/>
        <charset val="204"/>
      </rPr>
      <t xml:space="preserve"> </t>
    </r>
    <r>
      <rPr>
        <b/>
        <sz val="10"/>
        <rFont val="Consolas"/>
        <family val="3"/>
        <charset val="204"/>
      </rPr>
      <t>в коробе, в лотке, кабельном канале, трубе, гофре и т.д.</t>
    </r>
  </si>
  <si>
    <r>
      <t xml:space="preserve">Демонтаж кабеля витая пара </t>
    </r>
    <r>
      <rPr>
        <b/>
        <sz val="10"/>
        <rFont val="Consolas"/>
        <family val="3"/>
        <charset val="204"/>
      </rPr>
      <t>из короба, лотка, кабельного канала, гофры и т.д.</t>
    </r>
  </si>
  <si>
    <r>
      <t xml:space="preserve">Прокладка, монтаж, трассировка  силового кабеля (провода) емкостью </t>
    </r>
    <r>
      <rPr>
        <b/>
        <sz val="10"/>
        <color rgb="FFFF0000"/>
        <rFont val="Consolas"/>
        <family val="3"/>
        <charset val="204"/>
      </rPr>
      <t>до  3х2,5 мм2,</t>
    </r>
    <r>
      <rPr>
        <sz val="10"/>
        <rFont val="Consolas"/>
        <family val="3"/>
        <charset val="204"/>
      </rPr>
      <t xml:space="preserve"> </t>
    </r>
    <r>
      <rPr>
        <b/>
        <sz val="10"/>
        <rFont val="Consolas"/>
        <family val="3"/>
        <charset val="204"/>
      </rPr>
      <t>в коробе, в лотке, кабельном канале, трубе, гофре, металлорукаве  и т.д.</t>
    </r>
  </si>
  <si>
    <r>
      <t>Прокладка, монтаж, трассировка силового кабеля (провода) емкостью</t>
    </r>
    <r>
      <rPr>
        <b/>
        <sz val="10"/>
        <color rgb="FFFF0000"/>
        <rFont val="Consolas"/>
        <family val="3"/>
        <charset val="204"/>
      </rPr>
      <t xml:space="preserve"> до  5х4 мм2</t>
    </r>
    <r>
      <rPr>
        <sz val="10"/>
        <rFont val="Consolas"/>
        <family val="3"/>
        <charset val="204"/>
      </rPr>
      <t>,</t>
    </r>
    <r>
      <rPr>
        <b/>
        <sz val="10"/>
        <rFont val="Consolas"/>
        <family val="3"/>
        <charset val="204"/>
      </rPr>
      <t xml:space="preserve"> в коробе, в лотке, кабельном канале, трубе, гофре,металлорукаве  и т.д.</t>
    </r>
  </si>
  <si>
    <r>
      <t xml:space="preserve">Прокладка, монтаж, трассировка силового кабеля (провода) емкостью </t>
    </r>
    <r>
      <rPr>
        <b/>
        <sz val="10"/>
        <color rgb="FFFF0000"/>
        <rFont val="Consolas"/>
        <family val="3"/>
        <charset val="204"/>
      </rPr>
      <t>до  5х10мм2</t>
    </r>
    <r>
      <rPr>
        <sz val="10"/>
        <color theme="1"/>
        <rFont val="Consolas"/>
        <family val="3"/>
        <charset val="204"/>
      </rPr>
      <t xml:space="preserve">, </t>
    </r>
    <r>
      <rPr>
        <b/>
        <sz val="10"/>
        <color theme="1"/>
        <rFont val="Consolas"/>
        <family val="3"/>
        <charset val="204"/>
      </rPr>
      <t>в коробе, в лотке, кабельном канале, трубе, гофре,металлорукаве  и т.д.</t>
    </r>
  </si>
  <si>
    <r>
      <t>Прокладка, монтаж, трассировка силового кабеля (провода) емкостью</t>
    </r>
    <r>
      <rPr>
        <b/>
        <sz val="10"/>
        <color rgb="FFFF0000"/>
        <rFont val="Consolas"/>
        <family val="3"/>
        <charset val="204"/>
      </rPr>
      <t xml:space="preserve"> до  5х16 мм2</t>
    </r>
    <r>
      <rPr>
        <sz val="10"/>
        <color theme="1"/>
        <rFont val="Consolas"/>
        <family val="3"/>
        <charset val="204"/>
      </rPr>
      <t>,</t>
    </r>
    <r>
      <rPr>
        <b/>
        <sz val="10"/>
        <color theme="1"/>
        <rFont val="Consolas"/>
        <family val="3"/>
        <charset val="204"/>
      </rPr>
      <t xml:space="preserve"> в коробе, в лотке, кабельном канале, трубе, гофре,металлорукаве  и т.д.</t>
    </r>
  </si>
  <si>
    <r>
      <t xml:space="preserve">Прокладка, монтаж, трассировка силового кабеля (провода) емкостью </t>
    </r>
    <r>
      <rPr>
        <b/>
        <sz val="10"/>
        <color rgb="FFFF0000"/>
        <rFont val="Consolas"/>
        <family val="3"/>
        <charset val="204"/>
      </rPr>
      <t>до  5х35 мм2</t>
    </r>
    <r>
      <rPr>
        <sz val="10"/>
        <color theme="1"/>
        <rFont val="Consolas"/>
        <family val="3"/>
        <charset val="204"/>
      </rPr>
      <t xml:space="preserve">, </t>
    </r>
    <r>
      <rPr>
        <b/>
        <sz val="10"/>
        <color theme="1"/>
        <rFont val="Consolas"/>
        <family val="3"/>
        <charset val="204"/>
      </rPr>
      <t>в коробе, в лотке, кабельном канале, трубе, гофре,металлорукаве  и т.д.</t>
    </r>
  </si>
  <si>
    <r>
      <t xml:space="preserve">Прокладка, монтаж, трассировка силового кабеля (провода) емкостью </t>
    </r>
    <r>
      <rPr>
        <b/>
        <sz val="10"/>
        <color rgb="FFFF0000"/>
        <rFont val="Consolas"/>
        <family val="3"/>
        <charset val="204"/>
      </rPr>
      <t>до  5х95 мм2,</t>
    </r>
    <r>
      <rPr>
        <sz val="10"/>
        <color theme="1"/>
        <rFont val="Consolas"/>
        <family val="3"/>
        <charset val="204"/>
      </rPr>
      <t xml:space="preserve"> </t>
    </r>
    <r>
      <rPr>
        <b/>
        <sz val="10"/>
        <color theme="1"/>
        <rFont val="Consolas"/>
        <family val="3"/>
        <charset val="204"/>
      </rPr>
      <t>в коробе, в лотке, кабельном канале, трубе, гофре,металлорукаве  и т.д.</t>
    </r>
  </si>
  <si>
    <r>
      <t xml:space="preserve">Демонтаж силового кабеля (провода)  </t>
    </r>
    <r>
      <rPr>
        <b/>
        <sz val="10"/>
        <rFont val="Consolas"/>
        <family val="3"/>
        <charset val="204"/>
      </rPr>
      <t>из короба, лотка, кабельного канала, гофры и т.д.</t>
    </r>
    <r>
      <rPr>
        <sz val="10"/>
        <rFont val="Consolas"/>
        <family val="3"/>
        <charset val="204"/>
      </rPr>
      <t xml:space="preserve"> </t>
    </r>
  </si>
  <si>
    <r>
      <t xml:space="preserve">Прокладка, монтаж, трассировка кабеля UTP  cat 5e </t>
    </r>
    <r>
      <rPr>
        <b/>
        <sz val="10"/>
        <color rgb="FFFF0000"/>
        <rFont val="Consolas"/>
        <family val="3"/>
        <charset val="204"/>
      </rPr>
      <t>до 4 пар</t>
    </r>
    <r>
      <rPr>
        <sz val="10"/>
        <rFont val="Consolas"/>
        <family val="3"/>
        <charset val="204"/>
      </rPr>
      <t xml:space="preserve"> </t>
    </r>
    <r>
      <rPr>
        <b/>
        <sz val="10"/>
        <color rgb="FF0000FF"/>
        <rFont val="Consolas"/>
        <family val="3"/>
        <charset val="204"/>
      </rPr>
      <t>в штробе или открытым способом</t>
    </r>
    <r>
      <rPr>
        <sz val="10"/>
        <rFont val="Consolas"/>
        <family val="3"/>
        <charset val="204"/>
      </rPr>
      <t xml:space="preserve"> креплением  накладными скобами</t>
    </r>
  </si>
  <si>
    <r>
      <t xml:space="preserve">Прокладка, монтаж, трассировка силового кабеля (провода) </t>
    </r>
    <r>
      <rPr>
        <b/>
        <sz val="10"/>
        <color rgb="FF0000FF"/>
        <rFont val="Consolas"/>
        <family val="3"/>
        <charset val="204"/>
      </rPr>
      <t>в штробе или открытым способом креплением  накладными скобами,</t>
    </r>
    <r>
      <rPr>
        <sz val="10"/>
        <rFont val="Consolas"/>
        <family val="3"/>
        <charset val="204"/>
      </rPr>
      <t xml:space="preserve"> независимо от сечения и количества жил кабеля</t>
    </r>
  </si>
  <si>
    <r>
      <t xml:space="preserve">Прокладка, монтаж, трассировка коаксиального кабеля </t>
    </r>
    <r>
      <rPr>
        <b/>
        <sz val="10"/>
        <color rgb="FF0000FF"/>
        <rFont val="Consolas"/>
        <family val="3"/>
        <charset val="204"/>
      </rPr>
      <t xml:space="preserve"> в коробе, в лотке, кабельном канале, трубе, гофре и т.д.</t>
    </r>
  </si>
  <si>
    <r>
      <t xml:space="preserve"> Установка, монтаж, подключение  розеток RJ45, RJ12, RG11 </t>
    </r>
    <r>
      <rPr>
        <b/>
        <sz val="10"/>
        <color rgb="FF0000FF"/>
        <rFont val="Consolas"/>
        <family val="3"/>
        <charset val="204"/>
      </rPr>
      <t>(скрытый монтаж)</t>
    </r>
  </si>
  <si>
    <r>
      <t xml:space="preserve">Установка, монтаж, подключение  розеток RJ45, RJ12, RG11 </t>
    </r>
    <r>
      <rPr>
        <b/>
        <sz val="10"/>
        <color rgb="FF0000FF"/>
        <rFont val="Consolas"/>
        <family val="3"/>
        <charset val="204"/>
      </rPr>
      <t>(открытый монтаж)</t>
    </r>
  </si>
  <si>
    <r>
      <t xml:space="preserve">Установка, монтаж, подключение  розеток RJ45, RJ12, RG11 </t>
    </r>
    <r>
      <rPr>
        <b/>
        <sz val="10"/>
        <color rgb="FF0000FF"/>
        <rFont val="Consolas"/>
        <family val="3"/>
        <charset val="204"/>
      </rPr>
      <t>в/на короб/кабель канал</t>
    </r>
  </si>
  <si>
    <t>Установка, монтаж , подключение розетки, выключателя (открытый монтаж)</t>
  </si>
  <si>
    <r>
      <t>Установка автоматического выключателя 3- полюсного (</t>
    </r>
    <r>
      <rPr>
        <b/>
        <sz val="10"/>
        <color rgb="FFFF0000"/>
        <rFont val="Consolas"/>
        <family val="3"/>
        <charset val="204"/>
      </rPr>
      <t xml:space="preserve">до 25А </t>
    </r>
    <r>
      <rPr>
        <sz val="10"/>
        <color theme="1"/>
        <rFont val="Consolas"/>
        <family val="3"/>
        <charset val="204"/>
      </rPr>
      <t>включительно)</t>
    </r>
  </si>
  <si>
    <r>
      <t>Установка автоматического выключателя 3- полюсного (</t>
    </r>
    <r>
      <rPr>
        <b/>
        <sz val="10"/>
        <color rgb="FFFF0000"/>
        <rFont val="Consolas"/>
        <family val="3"/>
        <charset val="204"/>
      </rPr>
      <t>от 25А до 63А</t>
    </r>
    <r>
      <rPr>
        <sz val="10"/>
        <color theme="1"/>
        <rFont val="Consolas"/>
        <family val="3"/>
        <charset val="204"/>
      </rPr>
      <t xml:space="preserve"> включительно)</t>
    </r>
  </si>
  <si>
    <r>
      <t>Установка выключателя нагрузки (</t>
    </r>
    <r>
      <rPr>
        <b/>
        <sz val="10"/>
        <color rgb="FFFF0000"/>
        <rFont val="Consolas"/>
        <family val="3"/>
        <charset val="204"/>
      </rPr>
      <t xml:space="preserve">до  40А </t>
    </r>
    <r>
      <rPr>
        <sz val="10"/>
        <color theme="1"/>
        <rFont val="Consolas"/>
        <family val="3"/>
        <charset val="204"/>
      </rPr>
      <t>включительно)</t>
    </r>
  </si>
  <si>
    <r>
      <t>Установка выключателя нагрузки (</t>
    </r>
    <r>
      <rPr>
        <b/>
        <sz val="10"/>
        <color rgb="FFFF0000"/>
        <rFont val="Consolas"/>
        <family val="3"/>
        <charset val="204"/>
      </rPr>
      <t>более  40А</t>
    </r>
    <r>
      <rPr>
        <sz val="10"/>
        <color theme="1"/>
        <rFont val="Consolas"/>
        <family val="3"/>
        <charset val="204"/>
      </rPr>
      <t>)</t>
    </r>
  </si>
  <si>
    <r>
      <t xml:space="preserve">Монтаж навесного бокса (щита) распределительного  </t>
    </r>
    <r>
      <rPr>
        <b/>
        <sz val="10"/>
        <color rgb="FFFF0000"/>
        <rFont val="Consolas"/>
        <family val="3"/>
        <charset val="204"/>
      </rPr>
      <t>до 24</t>
    </r>
    <r>
      <rPr>
        <sz val="10"/>
        <color theme="1"/>
        <rFont val="Consolas"/>
        <family val="3"/>
        <charset val="204"/>
      </rPr>
      <t xml:space="preserve"> модулей (включительно)</t>
    </r>
  </si>
  <si>
    <r>
      <t xml:space="preserve">Монтаж бокса (щита) распределительного  </t>
    </r>
    <r>
      <rPr>
        <b/>
        <sz val="10"/>
        <color rgb="FFFF0000"/>
        <rFont val="Consolas"/>
        <family val="3"/>
        <charset val="204"/>
      </rPr>
      <t>более 24 модулей</t>
    </r>
  </si>
  <si>
    <r>
      <t>Монтаж патч-панели</t>
    </r>
    <r>
      <rPr>
        <b/>
        <sz val="10"/>
        <color rgb="FFFF0000"/>
        <rFont val="Consolas"/>
        <family val="3"/>
        <charset val="204"/>
      </rPr>
      <t xml:space="preserve"> 48 портов</t>
    </r>
    <r>
      <rPr>
        <sz val="10"/>
        <color theme="1"/>
        <rFont val="Consolas"/>
        <family val="3"/>
        <charset val="204"/>
      </rPr>
      <t xml:space="preserve"> /кросс-панели в телекоммуникационный шкаф (стойку)</t>
    </r>
  </si>
  <si>
    <r>
      <t>Монтаж патч-панели</t>
    </r>
    <r>
      <rPr>
        <sz val="10"/>
        <color rgb="FFFF0000"/>
        <rFont val="Consolas"/>
        <family val="3"/>
        <charset val="204"/>
      </rPr>
      <t xml:space="preserve"> 24 порта</t>
    </r>
    <r>
      <rPr>
        <sz val="10"/>
        <color theme="1"/>
        <rFont val="Consolas"/>
        <family val="3"/>
        <charset val="204"/>
      </rPr>
      <t xml:space="preserve"> /кросс-панели в телекоммуникационный шкаф (стойку)</t>
    </r>
  </si>
  <si>
    <r>
      <t xml:space="preserve"> СМР,  установка, монтаж патч-панели </t>
    </r>
    <r>
      <rPr>
        <b/>
        <sz val="10"/>
        <color rgb="FFFF0000"/>
        <rFont val="Consolas"/>
        <family val="3"/>
        <charset val="204"/>
      </rPr>
      <t>48 портов</t>
    </r>
    <r>
      <rPr>
        <sz val="10"/>
        <color theme="1"/>
        <rFont val="Consolas"/>
        <family val="3"/>
        <charset val="204"/>
      </rPr>
      <t xml:space="preserve"> /кросс-панели телекоммуникационный шкаф (стойку), включая стоимость основных и  крепежных материалов.</t>
    </r>
  </si>
  <si>
    <r>
      <t xml:space="preserve"> СМР,  установка, монтаж патч-панели </t>
    </r>
    <r>
      <rPr>
        <b/>
        <sz val="10"/>
        <color rgb="FFFF0000"/>
        <rFont val="Consolas"/>
        <family val="3"/>
        <charset val="204"/>
      </rPr>
      <t>24 порта</t>
    </r>
    <r>
      <rPr>
        <sz val="10"/>
        <color theme="1"/>
        <rFont val="Consolas"/>
        <family val="3"/>
        <charset val="204"/>
      </rPr>
      <t>/кросс-панели  в телекоммуникационный шкаф (стойку), включая стоимость основных и  крепежных материалов.</t>
    </r>
  </si>
  <si>
    <r>
      <t xml:space="preserve">Монтаж, коммутация, медножильных  патч-кордов </t>
    </r>
    <r>
      <rPr>
        <b/>
        <sz val="10"/>
        <color rgb="FFFF0000"/>
        <rFont val="Consolas"/>
        <family val="3"/>
        <charset val="204"/>
      </rPr>
      <t>до 5 м</t>
    </r>
    <r>
      <rPr>
        <sz val="10"/>
        <color theme="1"/>
        <rFont val="Consolas"/>
        <family val="3"/>
        <charset val="204"/>
      </rPr>
      <t>., включая стоимость основных и крепежных материалов.</t>
    </r>
  </si>
  <si>
    <r>
      <t xml:space="preserve">СМР. Установка коммутатора  доступа, VoIP шлюза </t>
    </r>
    <r>
      <rPr>
        <b/>
        <sz val="10"/>
        <color rgb="FFFF0000"/>
        <rFont val="Consolas"/>
        <family val="3"/>
        <charset val="204"/>
      </rPr>
      <t>до 48 портов</t>
    </r>
    <r>
      <rPr>
        <sz val="10"/>
        <color theme="1"/>
        <rFont val="Consolas"/>
        <family val="3"/>
        <charset val="204"/>
      </rPr>
      <t xml:space="preserve"> FXO/ FXS, платы расширения, коммутатора агрегации, оптического мультиплексора (4хЕ1, 2хFE), медиаконвертера, ИБП. СМР, ПНР, включая  монтаж SFP и стоимость материалов и кабеля, без учета стоимости оборудования. Монтаж оборудования   в существующую стойку (шкаф), подключение  электропитания от существующего источника питания; подключение к каналообразующему оборудованию, преднастройка/настройка.  </t>
    </r>
  </si>
  <si>
    <r>
      <t xml:space="preserve">Монтаж технологического проходного отверстия в стене </t>
    </r>
    <r>
      <rPr>
        <b/>
        <sz val="10"/>
        <color rgb="FFFF0000"/>
        <rFont val="Consolas"/>
        <family val="3"/>
        <charset val="204"/>
      </rPr>
      <t xml:space="preserve"> 100 мм</t>
    </r>
  </si>
  <si>
    <r>
      <t xml:space="preserve">Монтаж технологического проходного отверстия в стене </t>
    </r>
    <r>
      <rPr>
        <b/>
        <sz val="10"/>
        <color rgb="FFFF0000"/>
        <rFont val="Consolas"/>
        <family val="3"/>
        <charset val="204"/>
      </rPr>
      <t>300 мм</t>
    </r>
  </si>
  <si>
    <r>
      <t>Монтаж технологического проходного отверстия в стене</t>
    </r>
    <r>
      <rPr>
        <b/>
        <sz val="10"/>
        <color rgb="FFFF0000"/>
        <rFont val="Consolas"/>
        <family val="3"/>
        <charset val="204"/>
      </rPr>
      <t xml:space="preserve"> 50 мм</t>
    </r>
  </si>
  <si>
    <t xml:space="preserve">Укладка антистатического  линолеума </t>
  </si>
  <si>
    <r>
      <t xml:space="preserve">Коэффициент при проведении работ на высоте </t>
    </r>
    <r>
      <rPr>
        <b/>
        <sz val="10"/>
        <color rgb="FFFF0000"/>
        <rFont val="Consolas"/>
        <family val="3"/>
        <charset val="204"/>
      </rPr>
      <t>свыше 4 метров</t>
    </r>
    <r>
      <rPr>
        <sz val="10"/>
        <color theme="1"/>
        <rFont val="Consolas"/>
        <family val="3"/>
        <charset val="204"/>
      </rPr>
      <t xml:space="preserve"> (при выполнении внутренних работ)</t>
    </r>
  </si>
  <si>
    <r>
      <t>СМР, монтаж технологического отверстия</t>
    </r>
    <r>
      <rPr>
        <b/>
        <sz val="10"/>
        <color rgb="FFFF0000"/>
        <rFont val="Consolas"/>
        <family val="3"/>
        <charset val="204"/>
      </rPr>
      <t xml:space="preserve"> 100 мм</t>
    </r>
    <r>
      <rPr>
        <sz val="10"/>
        <color theme="1"/>
        <rFont val="Consolas"/>
        <family val="3"/>
        <charset val="204"/>
      </rPr>
      <t xml:space="preserve"> в стене из бетонных/кирпичных/ легковозводимых материалов, установка изолирующего соединителя,  включая сопутствующие работы, герметизация стоп-огонь.</t>
    </r>
  </si>
  <si>
    <r>
      <t xml:space="preserve">СМР, монтаж технологического отверстия </t>
    </r>
    <r>
      <rPr>
        <b/>
        <sz val="10"/>
        <color rgb="FFFF0000"/>
        <rFont val="Consolas"/>
        <family val="3"/>
        <charset val="204"/>
      </rPr>
      <t>300 мм</t>
    </r>
    <r>
      <rPr>
        <sz val="10"/>
        <color theme="1"/>
        <rFont val="Consolas"/>
        <family val="3"/>
        <charset val="204"/>
      </rPr>
      <t xml:space="preserve"> в стене из бетонных/кирпичных/ легковозводимых материалов, установка изолирующего соединителя,  включая сопутствующие работы, герметизация стоп-огонь.</t>
    </r>
  </si>
  <si>
    <r>
      <t xml:space="preserve">СМР, монтаж технологического отверстия </t>
    </r>
    <r>
      <rPr>
        <b/>
        <sz val="10"/>
        <color rgb="FFFF0000"/>
        <rFont val="Consolas"/>
        <family val="3"/>
        <charset val="204"/>
      </rPr>
      <t xml:space="preserve">50 мм </t>
    </r>
    <r>
      <rPr>
        <sz val="10"/>
        <color theme="1"/>
        <rFont val="Consolas"/>
        <family val="3"/>
        <charset val="204"/>
      </rPr>
      <t>в стене из бетонных/кирпичных/ легковозводимых материалов, установка изолирующего соединителя,  включая сопутствующие работы, герметизация стоп-огонь.</t>
    </r>
  </si>
  <si>
    <r>
      <t>Монтаж/установка телевизионной панели</t>
    </r>
    <r>
      <rPr>
        <b/>
        <sz val="10"/>
        <color rgb="FFFF0000"/>
        <rFont val="Consolas"/>
        <family val="3"/>
        <charset val="204"/>
      </rPr>
      <t xml:space="preserve"> свыше 55 дюймов</t>
    </r>
  </si>
  <si>
    <r>
      <t xml:space="preserve">Монтаж/установка телевизионной панели </t>
    </r>
    <r>
      <rPr>
        <b/>
        <sz val="10"/>
        <color rgb="FFFF0000"/>
        <rFont val="Consolas"/>
        <family val="3"/>
        <charset val="204"/>
      </rPr>
      <t>до 55 дюймов</t>
    </r>
  </si>
  <si>
    <t>Протяженность по работам, указанным в пп.5.5-5.7 учитывается  по профилю ГНБ/ГНП перехода;</t>
  </si>
  <si>
    <t>Указанный в настоящих расценках параметр "до" включает в себя этот размер / количество.Параметр "от" не включает указанный размер/количество</t>
  </si>
  <si>
    <t>В УР на прокладку кабелей с примечанием вида "В случае, если общая протяженность трассы ВОК менее 100 м, стоимость приравнивается к удельной стоимости участка = 100 м. независимо от фактической длины" данное условие применяется, если  только общая длина трассы кабеля на объекте имееет протяженность менее 100 м.Данное условие не применяется для отдельных фрагментов трассы или составных частей трассы из кабелей по разным УР.</t>
  </si>
  <si>
    <t>В разделе 6 "Устройство линий связи"- прокладка в трубах подразумевает обязательное использование труб ПНД d=20 мм  и типа-тяжёлые с протяжкой (зондом), при прокладке под заливку полов и т.п.</t>
  </si>
  <si>
    <t>Примечание:угловые,переходные,оконечные опоры при выполнении в варианте опора с укосиной (подпорой) учитываются стоимостью усреднённого состава работ в  УР 5.21 (5.21.1;5.21.2;5.21.3). Такие опоры считаются в стоимости заказа как одна опора.Необходимость их использования определяется составом рабочей документации и положениями действующей редакции Руководства по строительству линейных сооружений связи.</t>
  </si>
  <si>
    <t>Стоимость воздушного ввода в здание отдельно не рассчитывается - учтена стоимостью прокладки кабеля (УР "Прокладка и монтаж ....  по существующим опорам (трубостойкам, между зданиями)).Стоимость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</si>
  <si>
    <t>Для FTTB и PON (разделы 1 и 2)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</si>
  <si>
    <t>В состав ПИР всех расценок (в общем случае)входят: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t>
  </si>
  <si>
    <t>Комментарии, состав работ пояснения, условия и правила применения</t>
  </si>
  <si>
    <r>
      <t xml:space="preserve">Строительство в Комплексных новостройках (ДРС FTTb GE-4 пары на 1 ДХ под 100% проникновения, стояки не строятся). </t>
    </r>
    <r>
      <rPr>
        <b/>
        <sz val="10"/>
        <color rgb="FF0000FF"/>
        <rFont val="Consolas"/>
        <family val="3"/>
        <charset val="204"/>
      </rPr>
      <t>Проектирование и строительство магистральных участков ВОЛС производится по отдельным расценкам пунктов 4.2÷4.4, устройство ввода производиться по отдельным расценкам 5.24÷5.26. В случае необходимости строительства слаботочных стояков, проектирование и строительство производиться по отдельной расценке пункта 6.4.
Организация вводов в  ДХ производится по расценкам 6.38÷6.39; 6.42÷6.43.</t>
    </r>
  </si>
  <si>
    <r>
      <t xml:space="preserve">Для УР № 1.3,1.3.1,1.3.2
</t>
    </r>
    <r>
      <rPr>
        <sz val="10"/>
        <color theme="1"/>
        <rFont val="Consolas"/>
        <family val="3"/>
        <charset val="204"/>
      </rPr>
      <t>-объём строительства определяется Заказчиком виде указания количества "портов" в Заказе
-Применяется только для малоэтажных объектов существующего (стандартного) жилья и Новостроек.ДРС строится под заложенный процент проникновения из расчета 2 пары на каждый порт,указанный в заказе.Например если в заказе 14 портов, то построенная ДРС должна иметь ёмкость не менее 28х2.
-По таким расценкам строится только FE FTTB, т.е. 100 Мбит/с
- Стоимость магистральных ВОЛС в стоимость порта не входит. Такие ВОЛС считаются отдельно по расценкам раздела 4.Магистральными ВОЛС называются ВОЛС между УА и ТШ УД, включая ВОЛС между ТШ УД разных зданий.
- Стоимость перекидных ВОЛС входит в стоимость порта. Перекидными ВОЛС называются ВОЛС между установленными ТШ УД в пределах одного здания (перемычки)
- стоимость всех видов согласований входит в расценку за порт
- бирки на кабель и наклейки на оконечные устройства
- исполнительная документация согласно требованиям МР (см. приложение к Договору)</t>
    </r>
  </si>
  <si>
    <r>
      <t xml:space="preserve">Для УР № 1.2 и 1.2.1
</t>
    </r>
    <r>
      <rPr>
        <sz val="11"/>
        <color theme="1"/>
        <rFont val="Consolas"/>
        <family val="3"/>
        <charset val="204"/>
      </rPr>
      <t xml:space="preserve">
-объём строительства определяется Заказчиком виде указания количества "портов" в Заказе
- Строится только FTTB GE, т.е. 1 Гб/с
- Строится ДРС 100%
- Стоимость магистральных ВОЛС в стоимость порта не входит. Такие ВОЛС считаются отдельно по расценкам раздела 4.Магистральными ВОЛС называются ВОЛС между УА и ТШ УД, включая ВОЛС между ТШ УД разных зданий.
- Стоимость перекидных ВОЛС входит в стоимость порта. Перекидными ВОЛС называются ВОЛС между установленными ТШ УД в пределах одного здания (перемычки)
- стоимость всех видов согласований входит в расценку за порт
- бирки на кабель и наклейки на оконечные устройства
- исполнительная документация согласно требованиям МР (см. приложение к Договору)</t>
    </r>
  </si>
  <si>
    <r>
      <t xml:space="preserve">Для УР № 1.1.,1.1.1,1.1.2,1.1.3
</t>
    </r>
    <r>
      <rPr>
        <sz val="11"/>
        <color theme="1"/>
        <rFont val="Consolas"/>
        <family val="3"/>
        <charset val="204"/>
      </rPr>
      <t xml:space="preserve">
-объём строительства определяется Заказчиком виде указания количества "портов" в Заказе
-Применяется для объектов существующего (стандартного) жилья и Новостроек.ДРС строится под заложенный процент проникновения из расчета 2 пары на каждый порт,указанный в заказе.Например если в заказе 48 портов, то построенная ДРС должна иметь ёмкость не менее 96х2.
-По таким расценкам строится только FE FTTB, т.е. 100 Мбит/с
- Стоимость магистральных ВОЛС в стоимость порта не входит. Такие ВОЛС считаются отдельно по расценкам раздела 4.Магистральными ВОЛС называются ВОЛС между УА и ТШ УД, включая ВОЛС между ТШ УД разных зданий.
- Стоимость перекидных ВОЛС входит в стоимость порта. Перекидными ВОЛС называются ВОЛС между установленными ТШ УД в пределах одного здания (перемычки)
- стоимость всех видов согласований входит в расценку за порт
- бирки на кабель и наклейки на оконечные устройства
- исполнительная документация согласно требованиям МР (см. приложение к Договору)</t>
    </r>
    <r>
      <rPr>
        <b/>
        <sz val="11"/>
        <color theme="1"/>
        <rFont val="Consolas"/>
        <family val="3"/>
        <charset val="204"/>
      </rPr>
      <t xml:space="preserve">
</t>
    </r>
  </si>
  <si>
    <t>Стоимость магистральных ВОЛС в стоимость порта раздела 2 не входит. Такие ВОЛС считаются отдельно по расценкам раздела 4.Магистральными ВОЛС называются ВОЛС между УА или точкой врезки сущ. ВОЛС и ОРШ, включая ВОЛС между ОРШ одного или нескольких зданий.Стоимость распределительного ВОК (от ОРШ до ОРК внутри подъездов) учтена стоимостью "порта 1-го каскада"</t>
  </si>
  <si>
    <r>
      <rPr>
        <b/>
        <sz val="10"/>
        <color rgb="FF0000FF"/>
        <rFont val="Consolas"/>
        <family val="3"/>
        <charset val="204"/>
      </rPr>
      <t>Для УР № 2.1</t>
    </r>
    <r>
      <rPr>
        <b/>
        <sz val="10"/>
        <color theme="1"/>
        <rFont val="Consolas"/>
        <family val="3"/>
        <charset val="204"/>
      </rPr>
      <t xml:space="preserve">
</t>
    </r>
    <r>
      <rPr>
        <sz val="10"/>
        <color theme="1"/>
        <rFont val="Consolas"/>
        <family val="3"/>
        <charset val="204"/>
      </rPr>
      <t xml:space="preserve">
- объём строительства определяется Заказчиком виде указания количества "портов" в Заказе
- Коэффициент сплиттерования указывается Заказчиком,обычно это 1:64
- Применяется для объектов МКД существующего (стандартного) жилья и Новостроек.ДРС строится под 100 % охвата всех дх.
- стоимость всех видов согласований входит в расценку за порт
- стоимость строительства считается только через расценки порта 1-го каскада, при этом ДРС и ОРК с учётом 2-каскада учтены этой расценкой
- сплиттера 2-го каскада только в виде УСМ (см. ТЗ)
- бирки на кабель и наклейки на оконечные устройства
- исполнительная документация согласно требованиям МР (см. приложение к Договору)
</t>
    </r>
    <r>
      <rPr>
        <b/>
        <sz val="10"/>
        <color theme="1"/>
        <rFont val="Consolas"/>
        <family val="3"/>
        <charset val="204"/>
      </rPr>
      <t xml:space="preserve">
</t>
    </r>
    <r>
      <rPr>
        <b/>
        <sz val="10"/>
        <color rgb="FF0000FF"/>
        <rFont val="Consolas"/>
        <family val="3"/>
        <charset val="204"/>
      </rPr>
      <t>Для УР № 2.2</t>
    </r>
    <r>
      <rPr>
        <sz val="10"/>
        <color theme="1"/>
        <rFont val="Consolas"/>
        <family val="3"/>
        <charset val="204"/>
      </rPr>
      <t xml:space="preserve">
- Коэффициент сплиттерования указывается Заказчиком,обычно это 1:64
- Применяется только для малоэтажных объектов существующего (стандартного) жилья и Новостроек.ДРС в виде распределительного ВОК в подъезд с установкой одной ОРК по ТЗ.
- стоимость всех видов согласований входит в расценку за порт
- стоимость строительства считается только через расценки порта 1-го каскада, при этом ДРС и ОРК с учётом 2-каскада учтены этой расценкой
- сплиттера 2-го каскада только в виде УСМ (см. ТЗ)
- бирки на кабель и наклейки на оконечные устройства
- исполнительная документация согласно требованиям МР (см. приложение к Договору)
</t>
    </r>
    <r>
      <rPr>
        <b/>
        <sz val="10"/>
        <color rgb="FF0000FF"/>
        <rFont val="Consolas"/>
        <family val="3"/>
        <charset val="204"/>
      </rPr>
      <t xml:space="preserve">Для УР № 2.3
</t>
    </r>
    <r>
      <rPr>
        <sz val="10"/>
        <color theme="1"/>
        <rFont val="Consolas"/>
        <family val="3"/>
        <charset val="204"/>
      </rPr>
      <t xml:space="preserve">
- Коэффициент сплиттерования указывается Заказчиком,обычно это 1:64
- применяется для объектов МКД комплексных Новостроек.ДРС строится под 100 % охвата всех дх.
- может применяться для объектов существующего (стандартного) жилья и Новостроек при необходимости строительства ДРС с УСМ.ДРС строится под 100 % охвата всех дх.
- стоимость всех видов согласований входит в расценку за порт
- стоимость строительства считается только через расценки порта 1-го каскада, при этом ДРС и ОРК с учётом 2-каскада учтены этой расценкой
- сплиттера 2-го каскада только в виде УСМ (см. ТЗ)
- бирки на кабель и наклейки на оконечные устройства
- исполнительная документация согласно требованиям МР (см. приложение к Договор</t>
    </r>
    <r>
      <rPr>
        <b/>
        <sz val="10"/>
        <color theme="1"/>
        <rFont val="Consolas"/>
        <family val="3"/>
        <charset val="204"/>
      </rPr>
      <t>у)</t>
    </r>
  </si>
  <si>
    <r>
      <rPr>
        <b/>
        <sz val="10"/>
        <color rgb="FF0000FF"/>
        <rFont val="Consolas"/>
        <family val="3"/>
        <charset val="204"/>
      </rPr>
      <t>Для УР № 3.1,3.1.1,3.1.2,3.1.3</t>
    </r>
    <r>
      <rPr>
        <b/>
        <sz val="10"/>
        <rFont val="Consolas"/>
        <family val="3"/>
        <charset val="204"/>
      </rPr>
      <t xml:space="preserve">
</t>
    </r>
    <r>
      <rPr>
        <sz val="10"/>
        <rFont val="Consolas"/>
        <family val="3"/>
        <charset val="204"/>
      </rPr>
      <t xml:space="preserve">
- внутриобъектовые работы включают стоимость всех применяемых материалов
- применяется только ля расчетов рапределительного кабеля. Распределительным считется ВОК между ОРШ и ДМ (ОРК)
- включает восстановление отделки поверхностей при внутриобъектовых работах
- включает восстановление благоустройства (асфальтобетонных покрытий,газонов)
- включает заказ и оплату топосъемок и согласований (при строительстве) в т.ч. и схемы выбора направлений трассы,заказ и оплату топосъемки исполнительной,оформление охранных зон линий связи,постановка на кадастровый учёт; сдача в надзорные органы
- включает оплату потрав посевов сельхозугодий, рекультивации земель, убытков землепользователям
- включает согласования с собственниками кадастровых участков и территорий
- включает получение ТУ и справки о выполнении ТУ от собственников инфраструктуры     
- монтаж ВОК подразумевает оконечивание кабеля с двух сторон
- бирки на кабель и наклейки на оконечные устройства
- протяженность трассы  - длина прокладываемого кабеля до оптического кросса/дроп-муфты/сплиттера/ОРК, ОРШ.
- длина кабеля берется физическая (оптическая длина разделить на коэф.укорочения из паспорта партии ВОК)
- переходы ГНБ или ГНП считаются отдельно по расценкам раздела 5, при этом закладываемый в них ВОК учитывается по УР 3.1.х
- исполнительная документация согласно требованиям МР (см. приложение к Договору)</t>
    </r>
  </si>
  <si>
    <r>
      <rPr>
        <b/>
        <sz val="10"/>
        <color rgb="FF0000FF"/>
        <rFont val="Consolas"/>
        <family val="3"/>
        <charset val="204"/>
      </rPr>
      <t>Для УР № 3.1,3.1.1,3.1.2,3.1.3</t>
    </r>
    <r>
      <rPr>
        <b/>
        <sz val="10"/>
        <rFont val="Consolas"/>
        <family val="3"/>
        <charset val="204"/>
      </rPr>
      <t xml:space="preserve">
</t>
    </r>
    <r>
      <rPr>
        <sz val="10"/>
        <rFont val="Consolas"/>
        <family val="3"/>
        <charset val="204"/>
      </rPr>
      <t>- внутриобъектовые работы включают стоимость всех применяемых материалов
- применяется только ля расчетов рапределительного кабеля. Распределительным считется ВОК между ОРШ и ДМ (ОРК)
- включает восстановление отделки поверхностей при внутриобъектовых работах
- монтаж ВОК подразумевает оконечивание кабеля с двух сторон
- бирки на кабель и наклейки на оконечные устройства
- Протяженность трассы  - длина прокладываемого кабеля до оптического кросса/дроп-муфты/сплиттера/ОРК, ОРШ.
- длина кабеля берется физическая (оптическая длина разделить на  коэф.укорочения из паспорта партии ВОК)
- исполнительная документация согласно требованиям МР (см. приложение к Договору)</t>
    </r>
  </si>
  <si>
    <r>
      <rPr>
        <b/>
        <sz val="10"/>
        <color rgb="FF0000FF"/>
        <rFont val="Consolas"/>
        <family val="3"/>
        <charset val="204"/>
      </rPr>
      <t>Для УР № 3.1,3.1.1,3.1.2,3.1.3</t>
    </r>
    <r>
      <rPr>
        <b/>
        <sz val="10"/>
        <rFont val="Consolas"/>
        <family val="3"/>
        <charset val="204"/>
      </rPr>
      <t xml:space="preserve">
</t>
    </r>
    <r>
      <rPr>
        <sz val="10"/>
        <rFont val="Consolas"/>
        <family val="3"/>
        <charset val="204"/>
      </rPr>
      <t xml:space="preserve">
- внутриобъектовые работы включают стоимость всех применяемых материалов
- применяется только ля расчетов рапределительного кабеля. Распределительным считется ВОК между ОРШ и ДМ (ОРК)
- включает оснастку опор для подвеса ВОК
- выравнивание, установка оттяжек, перевязка опор и пр.; подрезка крон деревьев
- включает восстановление отделки поверхностей при внутриобъектовых работах
- включает заказ и оплату топосъемок и согласований (при строительстве) в т.ч. и схемы выбора направлений трассы,заказ и оплату топосъемки исполнительной,оформление охранных зон линий связи,постановка на кадастровый учёт; сдача в надзорные органы
- включает согласования с собственниками кадастровых участков и территорий
- включает получение ТУ и справки о выполнении ТУ от собственников инфраструктуры     
- монтаж ВОК подразумевает оконечивание кабеля с двух сторон
- включает бирки на кабель и наклейки на оконечные устройства
- протяженность трассы  - длина прокладываемого кабеля до оптического кросса/дроп-муфты/сплиттера/ОРК, ОРШ.
- длина кабеля берется физическая (оптическая длина разделить на коэф.укорочения из паспорта партии ВОК)
- исполнительная документация согласно требованиям МР (см. приложение к Договору)</t>
    </r>
  </si>
  <si>
    <r>
      <t xml:space="preserve">Универсальные расценки для прокладки магистральных ВОЛС в каб. канализации для любых проектов (В2С,В2В,В2G и пр.)
</t>
    </r>
    <r>
      <rPr>
        <b/>
        <sz val="10"/>
        <color rgb="FF0000FF"/>
        <rFont val="Consolas"/>
        <family val="3"/>
        <charset val="204"/>
      </rPr>
      <t xml:space="preserve">
В общем случае магистральными будут считаться ВОК от УА,точки врезки или др.
ВОК между УД в сетях FTTх в разных зданиях также является магистральным. ВОК между УД в пределах одного здания является "перекидным" и учтён стоимостью "портов" </t>
    </r>
    <r>
      <rPr>
        <sz val="10"/>
        <color theme="1"/>
        <rFont val="Consolas"/>
        <family val="3"/>
        <charset val="204"/>
      </rPr>
      <t xml:space="preserve">                                                                                                                                                                                  </t>
    </r>
  </si>
  <si>
    <r>
      <t xml:space="preserve">Универсальные расценки для прокладки магистральных ВОЛС в грунт, для любых проектов (В2С,В2В,В2G и пр.)
</t>
    </r>
    <r>
      <rPr>
        <b/>
        <sz val="10"/>
        <color rgb="FF0000FF"/>
        <rFont val="Consolas"/>
        <family val="3"/>
        <charset val="204"/>
      </rPr>
      <t xml:space="preserve">В общем случае магистральными будут считаться ВОК от УА,точки врезки или др.
ВОК между УД в сетях FTTх в разных зданиях также является магистральным. ВОК между УД в пределах одного здания является "перекидным" и учтён стоимостью "портов" </t>
    </r>
    <r>
      <rPr>
        <b/>
        <sz val="10"/>
        <rFont val="Consolas"/>
        <family val="3"/>
        <charset val="204"/>
      </rPr>
      <t xml:space="preserve">         </t>
    </r>
  </si>
  <si>
    <r>
      <t xml:space="preserve">Универсальные расценки для прокладки магистральных ВОЛС по существующим опорам, подвес между зданиями, между конструкций и пр., для любых проектов (В2С,В2В,В2G и пр.)
</t>
    </r>
    <r>
      <rPr>
        <b/>
        <sz val="10"/>
        <color rgb="FF0000FF"/>
        <rFont val="Consolas"/>
        <family val="3"/>
        <charset val="204"/>
      </rPr>
      <t xml:space="preserve">В общем случае магистральными будут считаться ВОК от УА,точки врезки или др.
ВОК между УД в сетях FTTх в разных зданиях также является магистральным. ВОК между УД в пределах одного здания является "перекидным" и учтён стоимостью "портов"  </t>
    </r>
  </si>
  <si>
    <r>
      <rPr>
        <b/>
        <sz val="10"/>
        <color rgb="FF0000FF"/>
        <rFont val="Consolas"/>
        <family val="3"/>
        <charset val="204"/>
      </rPr>
      <t>Для УР 4.4.х</t>
    </r>
    <r>
      <rPr>
        <b/>
        <sz val="10"/>
        <rFont val="Consolas"/>
        <family val="3"/>
        <charset val="204"/>
      </rPr>
      <t xml:space="preserve">
</t>
    </r>
    <r>
      <rPr>
        <sz val="10"/>
        <rFont val="Consolas"/>
        <family val="3"/>
        <charset val="204"/>
      </rPr>
      <t>- внутриобъектовые работы включают стоимость всех применяемых материалов
- включает стоимость оснастки сущ. опор или трубостоек для подвеса/крепления кабеля
- применяется только для расчетов магистрального кабеля.
- включает восстановление отделки поверхностей при внутриобъектовых работах
- включает бирки на кабель и наклейки на оконечные устройства
- установка  плакатов
- выравнивание, установка оттяжек, перевязка существующих опор Заказчика и пр.
- подрезка крон деревьев
- включая справки о выполнении ТУ от собственников инфраструктуры;
- оформление охранных зон линий связи,сдача в надзорные органы
- длина кабеля берется физическая (оптическая длина разделить на  коэф.укорочения из паспорта партии ВОК)
- исполнительная документация согласно требованиям МР (см. приложение к Договору)</t>
    </r>
  </si>
  <si>
    <t>Расценка для работ на существующем кабеле</t>
  </si>
  <si>
    <r>
      <t xml:space="preserve">Универсальные расценки для прокладки медного в каб. канализации для любых проектов (В2С,В2В,В2G и пр.)
</t>
    </r>
    <r>
      <rPr>
        <sz val="10"/>
        <rFont val="Consolas"/>
        <family val="3"/>
        <charset val="204"/>
      </rPr>
      <t>Для любых вариантов:магистральных,распределительных,перемычных и пр.</t>
    </r>
  </si>
  <si>
    <r>
      <t xml:space="preserve">Универсальные расценки для прокладки медного кабеля в грунт для любых проектов (В2С,В2В,В2G и пр.)
</t>
    </r>
    <r>
      <rPr>
        <b/>
        <sz val="10"/>
        <color rgb="FF0000FF"/>
        <rFont val="Consolas"/>
        <family val="3"/>
        <charset val="204"/>
      </rPr>
      <t>Для любых вариантов:магистральных,распределительных,перемычных и пр.</t>
    </r>
  </si>
  <si>
    <r>
      <t xml:space="preserve">Прокладка и монтаж медного кабеля  всех типов </t>
    </r>
    <r>
      <rPr>
        <b/>
        <u/>
        <sz val="10"/>
        <color rgb="FF0000FF"/>
        <rFont val="Consolas"/>
        <family val="3"/>
        <charset val="204"/>
      </rPr>
      <t>по опорам,  включая внутриобъектовые работы</t>
    </r>
  </si>
  <si>
    <r>
      <t xml:space="preserve">Универсальные расценки для подвеса медного кабеля, на опоры,между зданиями, конструкциями и пр.,для любых проектов (В2С,В2В,В2G и пр.)
</t>
    </r>
    <r>
      <rPr>
        <b/>
        <sz val="10"/>
        <color rgb="FF0000FF"/>
        <rFont val="Consolas"/>
        <family val="3"/>
        <charset val="204"/>
      </rPr>
      <t>Для любых вариантов:магистральных,распределительных,перемычных и пр.</t>
    </r>
  </si>
  <si>
    <r>
      <rPr>
        <b/>
        <sz val="10"/>
        <color rgb="FF0000FF"/>
        <rFont val="Consolas"/>
        <family val="3"/>
        <charset val="204"/>
      </rPr>
      <t>Для УР 4.9.х</t>
    </r>
    <r>
      <rPr>
        <b/>
        <sz val="10"/>
        <rFont val="Consolas"/>
        <family val="3"/>
        <charset val="204"/>
      </rPr>
      <t xml:space="preserve">
</t>
    </r>
    <r>
      <rPr>
        <sz val="10"/>
        <rFont val="Consolas"/>
        <family val="3"/>
        <charset val="204"/>
      </rPr>
      <t>- внутриобъектовые работы включают стоимость всех применяемых материалов
- включает стоимость оснастки сущ. опор или трубостоек для подвеса/крепления кабеля
- включает восстановление отделки поверхностей при внутриобъектовых работах
- включает бирки на кабель и наклейки на оконечные устройства
- установка плакатов
- выравнивание, установка оттяжек, перевязка существующих опор Заказчика и пр.
- подрезка крон деревьев
- включая справки о выполнении ТУ от собственников инфраструктуры;
- оформление охранных зон линий связи,сдача в надзорные органы
- длина кабеля берется физическая
- учёт прокладки кабеля "до кросса" означает до любого оконечного устройства,на котором расшит кабель 
- исполнительная документация согласно требованиям МР (см. приложение к Договору)</t>
    </r>
  </si>
  <si>
    <r>
      <t xml:space="preserve">Расценка для работ на </t>
    </r>
    <r>
      <rPr>
        <b/>
        <sz val="10"/>
        <color rgb="FF0000FF"/>
        <rFont val="Consolas"/>
        <family val="3"/>
        <charset val="204"/>
      </rPr>
      <t>существующих</t>
    </r>
    <r>
      <rPr>
        <b/>
        <sz val="10"/>
        <rFont val="Consolas"/>
        <family val="3"/>
        <charset val="204"/>
      </rPr>
      <t xml:space="preserve"> сетях (при переключениях,замене кабеля и пр.)</t>
    </r>
  </si>
  <si>
    <r>
      <t xml:space="preserve">Для УР 4.10.х
</t>
    </r>
    <r>
      <rPr>
        <b/>
        <sz val="10"/>
        <color rgb="FF0000FF"/>
        <rFont val="Consolas"/>
        <family val="3"/>
        <charset val="204"/>
      </rPr>
      <t>- не применяется для вновь прокладываемого кабеля</t>
    </r>
    <r>
      <rPr>
        <sz val="10"/>
        <rFont val="Consolas"/>
        <family val="3"/>
        <charset val="204"/>
      </rPr>
      <t xml:space="preserve">
- только для существующих кабелей, по отдельному Заказу
- муфту, технологию монтажа,соединители согласовать с Заказчиком до начала работ
- включает согласование доступа и работ
- включает все измерения (как на вновь проложенном кабеле)
- исполнительная документация согласно требованиям МР (см. приложение к Договору) </t>
    </r>
  </si>
  <si>
    <r>
      <t xml:space="preserve">Для УР 4.6.х
</t>
    </r>
    <r>
      <rPr>
        <b/>
        <sz val="10"/>
        <color rgb="FF0000FF"/>
        <rFont val="Consolas"/>
        <family val="3"/>
        <charset val="204"/>
      </rPr>
      <t>- не применяется для вновь прокладываемого кабеля</t>
    </r>
    <r>
      <rPr>
        <sz val="10"/>
        <rFont val="Consolas"/>
        <family val="3"/>
        <charset val="204"/>
      </rPr>
      <t xml:space="preserve">
- только для существующих кабелей, по отдельному Заказу
- ёмкость кабеля для работ выбирается Заказчиком и указывается в заказе
- муфту, комплектующие согласовать с Заказчиком до начала работ
- включает согласование доступа и работ
- включает все измерения (как на вновь проложенном кабеле)
- исполнительная документация согласно требованиям МР (см. приложение к Договору) </t>
    </r>
  </si>
  <si>
    <r>
      <t xml:space="preserve">Расценка для работ на </t>
    </r>
    <r>
      <rPr>
        <b/>
        <sz val="10"/>
        <color rgb="FF0000FF"/>
        <rFont val="Consolas"/>
        <family val="3"/>
        <charset val="204"/>
      </rPr>
      <t>существующем</t>
    </r>
    <r>
      <rPr>
        <b/>
        <sz val="10"/>
        <rFont val="Consolas"/>
        <family val="3"/>
        <charset val="204"/>
      </rPr>
      <t xml:space="preserve"> кабеле</t>
    </r>
  </si>
  <si>
    <r>
      <rPr>
        <b/>
        <sz val="10"/>
        <color rgb="FF0000FF"/>
        <rFont val="Consolas"/>
        <family val="3"/>
        <charset val="204"/>
      </rPr>
      <t>Для УР 4.5.х</t>
    </r>
    <r>
      <rPr>
        <b/>
        <sz val="10"/>
        <rFont val="Consolas"/>
        <family val="3"/>
        <charset val="204"/>
      </rPr>
      <t xml:space="preserve">
</t>
    </r>
    <r>
      <rPr>
        <b/>
        <sz val="10"/>
        <color rgb="FF0000FF"/>
        <rFont val="Consolas"/>
        <family val="3"/>
        <charset val="204"/>
      </rPr>
      <t>- не применяется для вновь прокладываемого кабеля</t>
    </r>
    <r>
      <rPr>
        <sz val="10"/>
        <rFont val="Consolas"/>
        <family val="3"/>
        <charset val="204"/>
      </rPr>
      <t xml:space="preserve">
- только для существующих кабелей, по отдельному Заказу на оконечивание кабеля
- ёмкость кросса выбирается Заказчиком и указывается в заказе
- кросс,тип адаптеров согласовать с Заказчиком до начала работ
- включает согласование доступа и работ
- включает все измерения (как на вновь проложенном кабеле)
- исполнительная документация согласно требованиям МР (см. приложение к Договору) </t>
    </r>
  </si>
  <si>
    <r>
      <t xml:space="preserve">Расценка для работ на </t>
    </r>
    <r>
      <rPr>
        <b/>
        <sz val="10"/>
        <color rgb="FF0000FF"/>
        <rFont val="Consolas"/>
        <family val="3"/>
        <charset val="204"/>
      </rPr>
      <t xml:space="preserve">существующем </t>
    </r>
    <r>
      <rPr>
        <b/>
        <sz val="10"/>
        <rFont val="Consolas"/>
        <family val="3"/>
        <charset val="204"/>
      </rPr>
      <t xml:space="preserve">кабеле.
</t>
    </r>
    <r>
      <rPr>
        <b/>
        <sz val="10"/>
        <color rgb="FF0000FF"/>
        <rFont val="Consolas"/>
        <family val="3"/>
        <charset val="204"/>
      </rPr>
      <t>- не применяется для вновь прокладываемого кабеля</t>
    </r>
    <r>
      <rPr>
        <sz val="10"/>
        <rFont val="Consolas"/>
        <family val="3"/>
        <charset val="204"/>
      </rPr>
      <t xml:space="preserve">
- только для существующих кабелей, по отдельному Заказу на оконечивание кабеля
- боксы,патч-панели,тип плинтов согласовать с Заказчиком до начала работ
- включает согласование доступа и работ
- включает все измерения (как на вновь проложенном кабеле)
- исполнительная документация согласно требованиям МР (см. приложение к Договору) </t>
    </r>
  </si>
  <si>
    <r>
      <t xml:space="preserve">Расценка для работ </t>
    </r>
    <r>
      <rPr>
        <b/>
        <sz val="10"/>
        <color rgb="FF0000FF"/>
        <rFont val="Consolas"/>
        <family val="3"/>
        <charset val="204"/>
      </rPr>
      <t>на существующем ВОК,</t>
    </r>
    <r>
      <rPr>
        <b/>
        <sz val="10"/>
        <rFont val="Consolas"/>
        <family val="3"/>
        <charset val="204"/>
      </rPr>
      <t xml:space="preserve"> </t>
    </r>
    <r>
      <rPr>
        <b/>
        <sz val="10"/>
        <color rgb="FF0000FF"/>
        <rFont val="Consolas"/>
        <family val="3"/>
        <charset val="204"/>
      </rPr>
      <t>в существующей муфте</t>
    </r>
    <r>
      <rPr>
        <b/>
        <sz val="10"/>
        <rFont val="Consolas"/>
        <family val="3"/>
        <charset val="204"/>
      </rPr>
      <t xml:space="preserve">
</t>
    </r>
    <r>
      <rPr>
        <sz val="10"/>
        <rFont val="Consolas"/>
        <family val="3"/>
        <charset val="204"/>
      </rPr>
      <t>- не применяется для вновь прокладываемого кабеля
- только для существующих муфт на существующих кабелях, по отдельному Заказу на такие работы
- муфту и комплектующие согласовать с Заказчиком до начала работ
- включает рефлектограммы в "родном" формате рефлектометра</t>
    </r>
  </si>
  <si>
    <r>
      <t xml:space="preserve">Расценка для работ по демонтажу существующего ВОК из канализации любой ёмкости.
</t>
    </r>
    <r>
      <rPr>
        <sz val="10"/>
        <rFont val="Consolas"/>
        <family val="3"/>
        <charset val="204"/>
      </rPr>
      <t xml:space="preserve">
- для демонтажа ВОК,предназначенного для дальнейшего использования</t>
    </r>
    <r>
      <rPr>
        <b/>
        <sz val="10"/>
        <color rgb="FF0000FF"/>
        <rFont val="Consolas"/>
        <family val="3"/>
        <charset val="204"/>
      </rPr>
      <t xml:space="preserve"> (не для утилизации)</t>
    </r>
    <r>
      <rPr>
        <sz val="10"/>
        <rFont val="Consolas"/>
        <family val="3"/>
        <charset val="204"/>
      </rPr>
      <t xml:space="preserve">
- восстановление герметазиции каналов  колодцах после демонтажа кабеля
</t>
    </r>
    <r>
      <rPr>
        <b/>
        <sz val="10"/>
        <color rgb="FF0000FF"/>
        <rFont val="Consolas"/>
        <family val="3"/>
        <charset val="204"/>
      </rPr>
      <t>- не включает восстановление канализации</t>
    </r>
    <r>
      <rPr>
        <sz val="10"/>
        <rFont val="Consolas"/>
        <family val="3"/>
        <charset val="204"/>
      </rPr>
      <t xml:space="preserve">
- включает очистку/промывку демонтированного кабеля от грязи перед намоткой в бухты/на барабан
- включает согласование работ с владельцем канализации (получение разрешительной документации, нарядов-допусков и пр.)
</t>
    </r>
    <r>
      <rPr>
        <b/>
        <sz val="10"/>
        <color rgb="FF0000FF"/>
        <rFont val="Consolas"/>
        <family val="3"/>
        <charset val="204"/>
      </rPr>
      <t>- включает стоимость барабана.</t>
    </r>
    <r>
      <rPr>
        <sz val="10"/>
        <rFont val="Consolas"/>
        <family val="3"/>
        <charset val="204"/>
      </rPr>
      <t>Необходимость использования барабана, его тип и размер согласовать с Заказчиком  до начала работ
- включает демонтаж оконечных устройств (кроссов) со сдачей Заказчику (при необходимости, уточнить у Заказчика)
- включает герметизацию/заделку концов кабеля</t>
    </r>
    <r>
      <rPr>
        <b/>
        <sz val="10"/>
        <rFont val="Consolas"/>
        <family val="3"/>
        <charset val="204"/>
      </rPr>
      <t xml:space="preserve">
</t>
    </r>
  </si>
  <si>
    <r>
      <t xml:space="preserve">Расценка для работ по демонтажу существующего медного кабеля из канализации ёмкостью </t>
    </r>
    <r>
      <rPr>
        <b/>
        <sz val="10"/>
        <color rgb="FFFF0000"/>
        <rFont val="Consolas"/>
        <family val="3"/>
        <charset val="204"/>
      </rPr>
      <t>от 10 до 600</t>
    </r>
    <r>
      <rPr>
        <b/>
        <sz val="10"/>
        <rFont val="Consolas"/>
        <family val="3"/>
        <charset val="204"/>
      </rPr>
      <t xml:space="preserve"> пар.
</t>
    </r>
    <r>
      <rPr>
        <sz val="10"/>
        <rFont val="Consolas"/>
        <family val="3"/>
        <charset val="204"/>
      </rPr>
      <t xml:space="preserve">- для двух вариантов демонтажа: для утилизации или для дальнейшего использования.Уточнить у Заказчика до начала работ
- восстановление герметазиции каналов  колодцах после демонтажа кабеля
</t>
    </r>
    <r>
      <rPr>
        <b/>
        <sz val="10"/>
        <color rgb="FF0000FF"/>
        <rFont val="Consolas"/>
        <family val="3"/>
        <charset val="204"/>
      </rPr>
      <t>- не включает восстановление канализации</t>
    </r>
    <r>
      <rPr>
        <sz val="10"/>
        <rFont val="Consolas"/>
        <family val="3"/>
        <charset val="204"/>
      </rPr>
      <t xml:space="preserve">
- включает очистку/промывку демонтированного кабеля от грязи перед намоткой в бухты/на барабан
- включает согласование работ с владельцем канализации (получение разрешительной документации, нарядов-допусков и пр.)
</t>
    </r>
    <r>
      <rPr>
        <b/>
        <sz val="10"/>
        <color rgb="FF0000FF"/>
        <rFont val="Consolas"/>
        <family val="3"/>
        <charset val="204"/>
      </rPr>
      <t>- включает стоимость барабана</t>
    </r>
    <r>
      <rPr>
        <sz val="10"/>
        <rFont val="Consolas"/>
        <family val="3"/>
        <charset val="204"/>
      </rPr>
      <t>.Необходимость использования барабана, его тип и размер согласовать с Заказчиком  до начала работ
- включает демонтаж оконечных устройств (боксов,коробок и пр.) со сдачей Заказчику (при необходимости, уточнить у Заказчика)
- включает герметизацию/заделку концов кабеля</t>
    </r>
  </si>
  <si>
    <r>
      <t xml:space="preserve">Расценка для работ по демонтажу существующего медного кабеля из грунта ёмкостью </t>
    </r>
    <r>
      <rPr>
        <b/>
        <sz val="10"/>
        <color rgb="FFFF0000"/>
        <rFont val="Consolas"/>
        <family val="3"/>
        <charset val="204"/>
      </rPr>
      <t xml:space="preserve">от 10 до 600 </t>
    </r>
    <r>
      <rPr>
        <b/>
        <sz val="10"/>
        <rFont val="Consolas"/>
        <family val="3"/>
        <charset val="204"/>
      </rPr>
      <t xml:space="preserve">пар.
</t>
    </r>
    <r>
      <rPr>
        <sz val="10"/>
        <rFont val="Consolas"/>
        <family val="3"/>
        <charset val="204"/>
      </rPr>
      <t xml:space="preserve">
- для двух вариантов демонтажа: для утилизации или для дальнейшего использования.Уточнить у Заказчика до начала работ
</t>
    </r>
    <r>
      <rPr>
        <b/>
        <sz val="10"/>
        <color rgb="FF0000FF"/>
        <rFont val="Consolas"/>
        <family val="3"/>
        <charset val="204"/>
      </rPr>
      <t xml:space="preserve">- для варианта "для дальнейшего использования" демонтаж проводить только с раскопкой мест залегания кабеля.Механизированный силовой демонтаж без вскрытия грунта ( "выдирание") запрещён. </t>
    </r>
    <r>
      <rPr>
        <sz val="10"/>
        <rFont val="Consolas"/>
        <family val="3"/>
        <charset val="204"/>
      </rPr>
      <t xml:space="preserve">
- восстановление герметазиции каналов  колодцах после демонтажа кабеля
- включает очистку/промывку демонтированного кабеля от грязи перед намоткой в бухты/на барабан
- включает согласование работ с владельцем территорий и участков(получение разрешительной документации, нарядов-допусков и пр.)
</t>
    </r>
    <r>
      <rPr>
        <b/>
        <sz val="10"/>
        <color rgb="FF0000FF"/>
        <rFont val="Consolas"/>
        <family val="3"/>
        <charset val="204"/>
      </rPr>
      <t>- включает стоимость барабана.</t>
    </r>
    <r>
      <rPr>
        <sz val="10"/>
        <rFont val="Consolas"/>
        <family val="3"/>
        <charset val="204"/>
      </rPr>
      <t>Необходимость использования барабана, его тип и размер согласовать с Заказчиком  до начала работ
- включает демонтаж оконечных устройств (боксов,коробок и пр.) со сдачей Заказчику (при необходимости, уточнить у Заказчика)
- включает герметизацию/заделку концов кабеля</t>
    </r>
  </si>
  <si>
    <r>
      <t xml:space="preserve">Расценка для работ по демонтажу существующего ВОК с опор (конструкций,крыш/кровель,трубостоек,деревьев и пр.)  любой ёмкости.
</t>
    </r>
    <r>
      <rPr>
        <sz val="10"/>
        <rFont val="Consolas"/>
        <family val="3"/>
        <charset val="204"/>
      </rPr>
      <t xml:space="preserve">
- для демонтажа любого подвесного кабеля, в т.ч. и между зданий, по конструкциям, деревьям и пр.
- для демонтажа ВОК,предназначенного для дальнейшего использования </t>
    </r>
    <r>
      <rPr>
        <b/>
        <sz val="10"/>
        <color rgb="FF0000FF"/>
        <rFont val="Consolas"/>
        <family val="3"/>
        <charset val="204"/>
      </rPr>
      <t>(не для утилизации)</t>
    </r>
    <r>
      <rPr>
        <sz val="10"/>
        <rFont val="Consolas"/>
        <family val="3"/>
        <charset val="204"/>
      </rPr>
      <t xml:space="preserve">
- демонтаж,в т.ч и демонтаж оснастки с опор, трубостоек на конструкциях,зданиях (при необходимости, уточнить у Заказчика)
- включает согласование работ с владельцем опор (получение разрешительной документации, нарядов-допусков и пр.)
- включает очистку/промывку демонтированного кабеля от грязи перед намоткой в бухты/на барабан
</t>
    </r>
    <r>
      <rPr>
        <b/>
        <sz val="10"/>
        <color rgb="FF0000FF"/>
        <rFont val="Consolas"/>
        <family val="3"/>
        <charset val="204"/>
      </rPr>
      <t>- включает стоимость барабана.</t>
    </r>
    <r>
      <rPr>
        <sz val="10"/>
        <rFont val="Consolas"/>
        <family val="3"/>
        <charset val="204"/>
      </rPr>
      <t>Необходимость использования барабана, его тип и размер согласовать с Заказчиком  до начала работ
- включает демонтаж оконечных устройств (кроссов) со сдачей Заказчику (при необходимости, уточнить у Заказчика)
- включает герметизацию/заделку концов кабеля</t>
    </r>
  </si>
  <si>
    <r>
      <t>Расценка для работ по демонтажу существующего медного кабеля подвесного с опор (конструкций,крыш/кровель,трубостоек,деревьев и пр.) ёмкостью</t>
    </r>
    <r>
      <rPr>
        <b/>
        <sz val="10"/>
        <color rgb="FFFF0000"/>
        <rFont val="Consolas"/>
        <family val="3"/>
        <charset val="204"/>
      </rPr>
      <t xml:space="preserve"> от 10 до 600</t>
    </r>
    <r>
      <rPr>
        <b/>
        <sz val="10"/>
        <rFont val="Consolas"/>
        <family val="3"/>
        <charset val="204"/>
      </rPr>
      <t xml:space="preserve"> пар.
</t>
    </r>
    <r>
      <rPr>
        <sz val="10"/>
        <rFont val="Consolas"/>
        <family val="3"/>
        <charset val="204"/>
      </rPr>
      <t xml:space="preserve">- для демонтажа подвесного кабеля, в т.ч. и между зданий, по конструкциям, деревьям и пр.
- для двух вариантов демонтажа: для утилизации или для дальнейшего использования.Уточнить у Заказчика до начала работ
- демонтаж,в т.ч и демонтаж оснастки с опор, трубостоек на конструкциях,зданиях (при необходимости, уточнить у Заказчика)
- восстановление герметазиции каналов  колодцах после демонтажа кабеля (при необходимости)
- включает очистку/промывку демонтированного кабеля от грязи перед намоткой в бухты/на барабан
- включает согласование работ с владельцем опор (получение разрешительной документации, нарядов-допусков и пр.)
</t>
    </r>
    <r>
      <rPr>
        <b/>
        <sz val="10"/>
        <color rgb="FF0000FF"/>
        <rFont val="Consolas"/>
        <family val="3"/>
        <charset val="204"/>
      </rPr>
      <t>- включает стоимость барабана</t>
    </r>
    <r>
      <rPr>
        <sz val="10"/>
        <rFont val="Consolas"/>
        <family val="3"/>
        <charset val="204"/>
      </rPr>
      <t>.Необходимость использования барабана, его тип и размер согласовать с Заказчиком  до начала работ
- включает демонтаж оконечных устройств (боксов,коробок и пр.) со сдачей Заказчику (при необходимости, уточнить у Заказчика)
- включает герметизацию/заделку концов кабеля</t>
    </r>
  </si>
  <si>
    <r>
      <t xml:space="preserve">Применяется исключительно только во время строительства основной канализации для случаев,когда нужно строить канализацию с числом каналов </t>
    </r>
    <r>
      <rPr>
        <b/>
        <sz val="10"/>
        <color rgb="FFFF0000"/>
        <rFont val="Consolas"/>
        <family val="3"/>
        <charset val="204"/>
      </rPr>
      <t>&gt; 2.</t>
    </r>
    <r>
      <rPr>
        <b/>
        <sz val="10"/>
        <rFont val="Consolas"/>
        <family val="3"/>
        <charset val="204"/>
      </rPr>
      <t xml:space="preserve">
</t>
    </r>
    <r>
      <rPr>
        <sz val="10"/>
        <rFont val="Consolas"/>
        <family val="3"/>
        <charset val="204"/>
      </rPr>
      <t>- при этом колодцы на трассе меняются под нужный типоразмер с учетом общего числа каналов (на основании Руководства по строительству ЛКСС).Стоимость этих колодцев учтена данной расценкой.</t>
    </r>
  </si>
  <si>
    <r>
      <t xml:space="preserve">Применяется исключительно только на </t>
    </r>
    <r>
      <rPr>
        <b/>
        <sz val="10"/>
        <color rgb="FF0000FF"/>
        <rFont val="Consolas"/>
        <family val="3"/>
        <charset val="204"/>
      </rPr>
      <t>существующей</t>
    </r>
    <r>
      <rPr>
        <b/>
        <sz val="10"/>
        <rFont val="Consolas"/>
        <family val="3"/>
        <charset val="204"/>
      </rPr>
      <t xml:space="preserve"> канализации.
</t>
    </r>
    <r>
      <rPr>
        <sz val="10"/>
        <rFont val="Consolas"/>
        <family val="3"/>
        <charset val="204"/>
      </rPr>
      <t>- стоимость колодцев не входит.Если нужно перебивать колодцы, применяется расценка</t>
    </r>
    <r>
      <rPr>
        <sz val="10"/>
        <color rgb="FF0000FF"/>
        <rFont val="Consolas"/>
        <family val="3"/>
        <charset val="204"/>
      </rPr>
      <t xml:space="preserve"> 5.14</t>
    </r>
    <r>
      <rPr>
        <sz val="10"/>
        <rFont val="Consolas"/>
        <family val="3"/>
        <charset val="204"/>
      </rPr>
      <t xml:space="preserve"> (для любых типоразмеров колодцев)
- все согласования, земляные работы,изыскания и съёмки входят в данную расценку,включая сдачу объекта в надзорные органы
</t>
    </r>
    <r>
      <rPr>
        <b/>
        <sz val="10"/>
        <color rgb="FF0000FF"/>
        <rFont val="Consolas"/>
        <family val="3"/>
        <charset val="204"/>
      </rPr>
      <t>- не включает восстановление канализации</t>
    </r>
    <r>
      <rPr>
        <sz val="10"/>
        <rFont val="Consolas"/>
        <family val="3"/>
        <charset val="204"/>
      </rPr>
      <t xml:space="preserve">
</t>
    </r>
    <r>
      <rPr>
        <b/>
        <sz val="10"/>
        <color rgb="FF0000FF"/>
        <rFont val="Consolas"/>
        <family val="3"/>
        <charset val="204"/>
      </rPr>
      <t>- благоустройство не входит в данную расценку</t>
    </r>
  </si>
  <si>
    <r>
      <t xml:space="preserve">Применяется исключительно только на </t>
    </r>
    <r>
      <rPr>
        <b/>
        <sz val="10"/>
        <color rgb="FF0000FF"/>
        <rFont val="Consolas"/>
        <family val="3"/>
        <charset val="204"/>
      </rPr>
      <t>существующей</t>
    </r>
    <r>
      <rPr>
        <b/>
        <sz val="10"/>
        <rFont val="Consolas"/>
        <family val="3"/>
        <charset val="204"/>
      </rPr>
      <t xml:space="preserve"> канализации.
</t>
    </r>
    <r>
      <rPr>
        <sz val="10"/>
        <rFont val="Consolas"/>
        <family val="3"/>
        <charset val="204"/>
      </rPr>
      <t xml:space="preserve">- под термином </t>
    </r>
    <r>
      <rPr>
        <b/>
        <sz val="10"/>
        <color rgb="FF0000FF"/>
        <rFont val="Consolas"/>
        <family val="3"/>
        <charset val="204"/>
      </rPr>
      <t>"полноценное восстановление каналов кабельной канализации"</t>
    </r>
    <r>
      <rPr>
        <sz val="10"/>
        <rFont val="Consolas"/>
        <family val="3"/>
        <charset val="204"/>
      </rPr>
      <t xml:space="preserve"> имееется ввиду </t>
    </r>
    <r>
      <rPr>
        <b/>
        <sz val="10"/>
        <color rgb="FF0000FF"/>
        <rFont val="Consolas"/>
        <family val="3"/>
        <charset val="204"/>
      </rPr>
      <t>100 %</t>
    </r>
    <r>
      <rPr>
        <sz val="10"/>
        <rFont val="Consolas"/>
        <family val="3"/>
        <charset val="204"/>
      </rPr>
      <t xml:space="preserve"> восстановление проходимости кабельного канала/ов до состояния нового/новых,с заменой поврежденных фрагментов труб на новые ,с заделкой стыков согласно технологии производства работ и т.д.,с устройством защиты мест стыковок,включая допонительные бандажи и пр.
- по отдельному Заказу от Заказчика с предварительным согласованием работ
- стоимость колодцев не входит.Если нужно перебивать колодцы, применяется расценка 5.14 (для любых типоразмеров колодцев)
- все согласования, земляные работы,изыскания и съёмки входят в данную расценку,включая сдачу объекта в надзорные органы
</t>
    </r>
    <r>
      <rPr>
        <b/>
        <sz val="10"/>
        <color rgb="FF0000FF"/>
        <rFont val="Consolas"/>
        <family val="3"/>
        <charset val="204"/>
      </rPr>
      <t>- благоустройство не входит в данную расценку</t>
    </r>
  </si>
  <si>
    <r>
      <t xml:space="preserve">Расценка основная на строительство кабельной канализации
</t>
    </r>
    <r>
      <rPr>
        <sz val="10"/>
        <rFont val="Consolas"/>
        <family val="3"/>
        <charset val="204"/>
      </rPr>
      <t xml:space="preserve">- в данную расценку входит 2 канала канализации
- Стоимость строительства кабельной канализации  из полиэтиленовых труб рассчитана для труб </t>
    </r>
    <r>
      <rPr>
        <b/>
        <sz val="10"/>
        <color rgb="FFFF0000"/>
        <rFont val="Consolas"/>
        <family val="3"/>
        <charset val="204"/>
      </rPr>
      <t>Д=110мм.</t>
    </r>
    <r>
      <rPr>
        <sz val="10"/>
        <rFont val="Consolas"/>
        <family val="3"/>
        <charset val="204"/>
      </rPr>
      <t xml:space="preserve"> В случае строительства кабельной канализации с применением труб </t>
    </r>
    <r>
      <rPr>
        <b/>
        <sz val="10"/>
        <color rgb="FFFF0000"/>
        <rFont val="Consolas"/>
        <family val="3"/>
        <charset val="204"/>
      </rPr>
      <t>Д=63мм</t>
    </r>
    <r>
      <rPr>
        <sz val="10"/>
        <rFont val="Consolas"/>
        <family val="3"/>
        <charset val="204"/>
      </rPr>
      <t xml:space="preserve">  применять понижающий коэффициент к расценке </t>
    </r>
    <r>
      <rPr>
        <b/>
        <sz val="10"/>
        <color rgb="FFFF0000"/>
        <rFont val="Consolas"/>
        <family val="3"/>
        <charset val="204"/>
      </rPr>
      <t xml:space="preserve">к= 0,94 </t>
    </r>
    <r>
      <rPr>
        <sz val="10"/>
        <rFont val="Consolas"/>
        <family val="3"/>
        <charset val="204"/>
      </rPr>
      <t xml:space="preserve">
- если нужно каналов &gt;2, то каждый следующий канал считается отдельно по расценке 5.2.
- стомость колодцев учтена данной расценкой, в том числе и угловых, разветвительных
- максимальная длина пролета в городских условиях </t>
    </r>
    <r>
      <rPr>
        <b/>
        <sz val="10"/>
        <color rgb="FF0000FF"/>
        <rFont val="Consolas"/>
        <family val="3"/>
        <charset val="204"/>
      </rPr>
      <t>не более 100 м</t>
    </r>
    <r>
      <rPr>
        <sz val="10"/>
        <rFont val="Consolas"/>
        <family val="3"/>
        <charset val="204"/>
      </rPr>
      <t xml:space="preserve">
- переходные колодцы через а/дороги,трассы устанавливаются в обязательном порядке.
- включает стоимость оснастки кабельных колодцев из расчета (кронштейны и консоли из расчёта по 2 кронштейна на продольную стену с 1 консолью типа ККЧ-3 каждый)
- включает стоимость ж/б опорных колец,люков (тяжелых,нижняя крышка, верхняя крышка на шарнире,с запорным устройством) или иных, по согласованию с Заказчиком.Применение полимерных люков только в исключительных случаях , по согласованию с Закзчиком.
</t>
    </r>
    <r>
      <rPr>
        <b/>
        <sz val="10"/>
        <color rgb="FF0000FF"/>
        <rFont val="Consolas"/>
        <family val="3"/>
        <charset val="204"/>
      </rPr>
      <t>- благоустройство не входит</t>
    </r>
    <r>
      <rPr>
        <sz val="10"/>
        <rFont val="Consolas"/>
        <family val="3"/>
        <charset val="204"/>
      </rPr>
      <t xml:space="preserve">
- включает 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
- включает оформление разрешительных документов, справки о выполнении ТУ от собственников инфраструктуры и исполнительной документации по МР. </t>
    </r>
  </si>
  <si>
    <r>
      <t xml:space="preserve">Расценка на ГНБ/ГНП для дополнительных труб диаметром </t>
    </r>
    <r>
      <rPr>
        <b/>
        <sz val="10"/>
        <color rgb="FFFF0000"/>
        <rFont val="Consolas"/>
        <family val="3"/>
        <charset val="204"/>
      </rPr>
      <t>от 63 мм до 110 мм</t>
    </r>
    <r>
      <rPr>
        <b/>
        <sz val="10"/>
        <rFont val="Consolas"/>
        <family val="3"/>
        <charset val="204"/>
      </rPr>
      <t xml:space="preserve">
</t>
    </r>
    <r>
      <rPr>
        <sz val="10"/>
        <rFont val="Consolas"/>
        <family val="3"/>
        <charset val="204"/>
      </rPr>
      <t>- применяется только в связке с расценкой 5.5 (5.5.х),</t>
    </r>
    <r>
      <rPr>
        <b/>
        <sz val="10"/>
        <color rgb="FF0000FF"/>
        <rFont val="Consolas"/>
        <family val="3"/>
        <charset val="204"/>
      </rPr>
      <t>отдельно не применяется.</t>
    </r>
    <r>
      <rPr>
        <sz val="10"/>
        <rFont val="Consolas"/>
        <family val="3"/>
        <charset val="204"/>
      </rPr>
      <t xml:space="preserve">
- все положения аналогичны как в расценке 5.5. (5.5.х)</t>
    </r>
  </si>
  <si>
    <r>
      <t xml:space="preserve">Расценка на ГНБ/ГНП для переходов из 2-х труб диаметром </t>
    </r>
    <r>
      <rPr>
        <b/>
        <sz val="10"/>
        <color rgb="FFFF0000"/>
        <rFont val="Consolas"/>
        <family val="3"/>
        <charset val="204"/>
      </rPr>
      <t xml:space="preserve">от 63 мм до 110 мм </t>
    </r>
    <r>
      <rPr>
        <b/>
        <sz val="10"/>
        <rFont val="Consolas"/>
        <family val="3"/>
        <charset val="204"/>
      </rPr>
      <t xml:space="preserve">для двух диапазонов категорий грунтов
</t>
    </r>
    <r>
      <rPr>
        <sz val="10"/>
        <rFont val="Consolas"/>
        <family val="3"/>
        <charset val="204"/>
      </rPr>
      <t xml:space="preserve">- по данной расценке выполняется ГНБ/ГНП </t>
    </r>
    <r>
      <rPr>
        <b/>
        <sz val="10"/>
        <color rgb="FFFF0000"/>
        <rFont val="Consolas"/>
        <family val="3"/>
        <charset val="204"/>
      </rPr>
      <t>из 2-х</t>
    </r>
    <r>
      <rPr>
        <sz val="10"/>
        <rFont val="Consolas"/>
        <family val="3"/>
        <charset val="204"/>
      </rPr>
      <t xml:space="preserve"> труб
- диаметр труб выбирается Заказчиком и отражается в заказе.</t>
    </r>
    <r>
      <rPr>
        <b/>
        <sz val="10"/>
        <color rgb="FF0000FF"/>
        <rFont val="Consolas"/>
        <family val="3"/>
        <charset val="204"/>
      </rPr>
      <t>Оба диаметра входят в данную расценку</t>
    </r>
    <r>
      <rPr>
        <sz val="10"/>
        <rFont val="Consolas"/>
        <family val="3"/>
        <charset val="204"/>
      </rPr>
      <t xml:space="preserve">
- необходимость выполнения переходов ГНБ/ГНП определяется подрядчиком на этапе ПИР и согласовыввается с Заказчиком отдельно
- включает все соглассования, разрешений,получения ТУ,справки о выполнении ТУ от собственников инфраструктуры
- учитывает стесненные городские условия
</t>
    </r>
    <r>
      <rPr>
        <b/>
        <sz val="10"/>
        <color rgb="FF0000FF"/>
        <rFont val="Consolas"/>
        <family val="3"/>
        <charset val="204"/>
      </rPr>
      <t>- не включает благоустройство</t>
    </r>
    <r>
      <rPr>
        <sz val="10"/>
        <rFont val="Consolas"/>
        <family val="3"/>
        <charset val="204"/>
      </rPr>
      <t xml:space="preserve">
- исполнительная документация согласно требованиям МР (см. приложение к Договору)</t>
    </r>
  </si>
  <si>
    <r>
      <t>Расценка на ГНБ/ГНП для переходов</t>
    </r>
    <r>
      <rPr>
        <b/>
        <sz val="10"/>
        <color rgb="FF0000FF"/>
        <rFont val="Consolas"/>
        <family val="3"/>
        <charset val="204"/>
      </rPr>
      <t xml:space="preserve"> из 1-й трубы</t>
    </r>
    <r>
      <rPr>
        <b/>
        <sz val="10"/>
        <rFont val="Consolas"/>
        <family val="3"/>
        <charset val="204"/>
      </rPr>
      <t xml:space="preserve"> диаметром </t>
    </r>
    <r>
      <rPr>
        <b/>
        <sz val="10"/>
        <color rgb="FFFF0000"/>
        <rFont val="Consolas"/>
        <family val="3"/>
        <charset val="204"/>
      </rPr>
      <t>от 63 мм до 110 мм</t>
    </r>
    <r>
      <rPr>
        <b/>
        <sz val="10"/>
        <rFont val="Consolas"/>
        <family val="3"/>
        <charset val="204"/>
      </rPr>
      <t xml:space="preserve"> для двух диапазонов категорий грунтов
</t>
    </r>
    <r>
      <rPr>
        <sz val="10"/>
        <rFont val="Consolas"/>
        <family val="3"/>
        <charset val="204"/>
      </rPr>
      <t xml:space="preserve">- по данной расценке выполняется ГНБ/ГНП </t>
    </r>
    <r>
      <rPr>
        <b/>
        <sz val="10"/>
        <color rgb="FF0000FF"/>
        <rFont val="Consolas"/>
        <family val="3"/>
        <charset val="204"/>
      </rPr>
      <t>из одной</t>
    </r>
    <r>
      <rPr>
        <sz val="10"/>
        <rFont val="Consolas"/>
        <family val="3"/>
        <charset val="204"/>
      </rPr>
      <t xml:space="preserve"> трубы
- диаметр трубы выбирается Заказчиком и отражается в заказе.
- необходимость выполнения переходов ГНБ/ГНП определяется подрядчиком на этапе ПИР и согласовывается с Заказчиком отдельно
- включает все виды согласований, разрешений,получение ТУ,справки о выполнении ТУ от собственников инфраструктуры
- учитывает стесненные городские условия
</t>
    </r>
    <r>
      <rPr>
        <b/>
        <sz val="10"/>
        <color rgb="FF0000FF"/>
        <rFont val="Consolas"/>
        <family val="3"/>
        <charset val="204"/>
      </rPr>
      <t>- не включает благоустройство</t>
    </r>
    <r>
      <rPr>
        <sz val="10"/>
        <rFont val="Consolas"/>
        <family val="3"/>
        <charset val="204"/>
      </rPr>
      <t xml:space="preserve">
- исполнительная документация согласно требованиям МР (см. приложение к Договору)</t>
    </r>
  </si>
  <si>
    <r>
      <t xml:space="preserve">Расценки на установку колодцев ККС-Х
</t>
    </r>
    <r>
      <rPr>
        <sz val="10"/>
        <rFont val="Consolas"/>
        <family val="3"/>
        <charset val="204"/>
      </rPr>
      <t xml:space="preserve">
</t>
    </r>
    <r>
      <rPr>
        <b/>
        <sz val="10"/>
        <color rgb="FF0000FF"/>
        <rFont val="Consolas"/>
        <family val="3"/>
        <charset val="204"/>
      </rPr>
      <t>- не применяются при строительстве канализации по расценке 5.1.</t>
    </r>
    <r>
      <rPr>
        <sz val="10"/>
        <rFont val="Consolas"/>
        <family val="3"/>
        <charset val="204"/>
      </rPr>
      <t xml:space="preserve">
- применяются,в том числе,для установки на существующей кабельной канализации ("набивка")
</t>
    </r>
    <r>
      <rPr>
        <b/>
        <sz val="10"/>
        <color rgb="FF0000FF"/>
        <rFont val="Consolas"/>
        <family val="3"/>
        <charset val="204"/>
      </rPr>
      <t>- включают благоустройство</t>
    </r>
    <r>
      <rPr>
        <sz val="10"/>
        <rFont val="Consolas"/>
        <family val="3"/>
        <charset val="204"/>
      </rPr>
      <t xml:space="preserve">
- остальные положения такие же,как и в расценке 5.1.
</t>
    </r>
    <r>
      <rPr>
        <b/>
        <sz val="10"/>
        <color rgb="FF0000FF"/>
        <rFont val="Consolas"/>
        <family val="3"/>
        <charset val="204"/>
      </rPr>
      <t>- не применяются при перебивке (замене) существующих колодцев</t>
    </r>
  </si>
  <si>
    <r>
      <t xml:space="preserve">Расценки на перебивку (замену) существующих колодцев ККС-Х
</t>
    </r>
    <r>
      <rPr>
        <sz val="10"/>
        <rFont val="Consolas"/>
        <family val="3"/>
        <charset val="204"/>
      </rPr>
      <t xml:space="preserve">
</t>
    </r>
    <r>
      <rPr>
        <b/>
        <sz val="10"/>
        <color rgb="FF0000FF"/>
        <rFont val="Consolas"/>
        <family val="3"/>
        <charset val="204"/>
      </rPr>
      <t>- не применяются при строительстве канализации по расценке 5.1.</t>
    </r>
    <r>
      <rPr>
        <sz val="10"/>
        <rFont val="Consolas"/>
        <family val="3"/>
        <charset val="204"/>
      </rPr>
      <t xml:space="preserve">
- включает любой тип и разновидность колодцев
- применяется,в том числе,для перебивки колодцев без докладки доп. канала
</t>
    </r>
    <r>
      <rPr>
        <b/>
        <sz val="10"/>
        <color rgb="FF0000FF"/>
        <rFont val="Consolas"/>
        <family val="3"/>
        <charset val="204"/>
      </rPr>
      <t>- включают благоустройство</t>
    </r>
    <r>
      <rPr>
        <sz val="10"/>
        <rFont val="Consolas"/>
        <family val="3"/>
        <charset val="204"/>
      </rPr>
      <t xml:space="preserve">
- остальные положения такие же,как и в расценке 5.1.</t>
    </r>
    <r>
      <rPr>
        <b/>
        <sz val="10"/>
        <rFont val="Consolas"/>
        <family val="3"/>
        <charset val="204"/>
      </rPr>
      <t xml:space="preserve">
</t>
    </r>
  </si>
  <si>
    <r>
      <t xml:space="preserve">Расценки на восстановление покрытий на </t>
    </r>
    <r>
      <rPr>
        <b/>
        <sz val="10"/>
        <color rgb="FF0000FF"/>
        <rFont val="Consolas"/>
        <family val="3"/>
        <charset val="204"/>
      </rPr>
      <t>пешеходной части/тротуарах</t>
    </r>
    <r>
      <rPr>
        <b/>
        <sz val="10"/>
        <rFont val="Consolas"/>
        <family val="3"/>
        <charset val="204"/>
      </rPr>
      <t xml:space="preserve">
</t>
    </r>
    <r>
      <rPr>
        <sz val="10"/>
        <rFont val="Consolas"/>
        <family val="3"/>
        <charset val="204"/>
      </rPr>
      <t>Включает:
-оформление разрешительных документов
-исполнительной документации
-справки о выполнении ТУ от собственников инфраструктуры
-закрытие ордера в администрации</t>
    </r>
    <r>
      <rPr>
        <b/>
        <sz val="10"/>
        <rFont val="Consolas"/>
        <family val="3"/>
        <charset val="204"/>
      </rPr>
      <t xml:space="preserve">
</t>
    </r>
    <r>
      <rPr>
        <b/>
        <sz val="10"/>
        <color rgb="FF0000FF"/>
        <rFont val="Consolas"/>
        <family val="3"/>
        <charset val="204"/>
      </rPr>
      <t>-не применяется совместно с расценками,в которых входит благоустройство</t>
    </r>
  </si>
  <si>
    <r>
      <t xml:space="preserve">Расценки на восстановление покрытий </t>
    </r>
    <r>
      <rPr>
        <b/>
        <sz val="10"/>
        <color rgb="FF0000FF"/>
        <rFont val="Consolas"/>
        <family val="3"/>
        <charset val="204"/>
      </rPr>
      <t>на проезжей части</t>
    </r>
    <r>
      <rPr>
        <b/>
        <sz val="10"/>
        <rFont val="Consolas"/>
        <family val="3"/>
        <charset val="204"/>
      </rPr>
      <t xml:space="preserve">
</t>
    </r>
    <r>
      <rPr>
        <sz val="10"/>
        <rFont val="Consolas"/>
        <family val="3"/>
        <charset val="204"/>
      </rPr>
      <t xml:space="preserve">Включает:
-оформление разрешительных документов
-исполнительной документации
-справки о выполнении ТУ от собственников инфраструктуры
-закрытие ордера в администрации
</t>
    </r>
    <r>
      <rPr>
        <b/>
        <sz val="10"/>
        <color rgb="FF0000FF"/>
        <rFont val="Consolas"/>
        <family val="3"/>
        <charset val="204"/>
      </rPr>
      <t>-не применяется совместно с расценками,в которых входит благоустройство</t>
    </r>
  </si>
  <si>
    <r>
      <rPr>
        <b/>
        <sz val="10"/>
        <rFont val="Consolas"/>
        <family val="3"/>
        <charset val="204"/>
      </rPr>
      <t>Расценки на восстановление покрытий из</t>
    </r>
    <r>
      <rPr>
        <b/>
        <sz val="10"/>
        <color rgb="FF0000FF"/>
        <rFont val="Consolas"/>
        <family val="3"/>
        <charset val="204"/>
      </rPr>
      <t xml:space="preserve"> брусчатки/тротуарной плитки
Термин "брусчатка" включает в себя термин "тротуарная плитка"</t>
    </r>
    <r>
      <rPr>
        <sz val="10"/>
        <rFont val="Consolas"/>
        <family val="3"/>
        <charset val="204"/>
      </rPr>
      <t xml:space="preserve">
Включает:
-подбор плитки, аналогичной окружающему покрытию тротуара с её стоимостью
-оформление разрешительных документов
-исполнительной документации
-справки о выполнении ТУ от собственников инфраструктуры
-закрытие ордера в администрации
</t>
    </r>
    <r>
      <rPr>
        <b/>
        <sz val="10"/>
        <color rgb="FF0000FF"/>
        <rFont val="Consolas"/>
        <family val="3"/>
        <charset val="204"/>
      </rPr>
      <t>-не применяется совместно с расценками,в которых входит благоустройство</t>
    </r>
  </si>
  <si>
    <t xml:space="preserve">Применяется дополнительно к расценке 5.1; 5.3-5.4.
По требованию Заказчика фактический объем работ  подтверждается Актом.
</t>
  </si>
  <si>
    <t>Применяется дополнительно к расценке 5.1; 5.3-5.4.
По требованию Заказчика фактический объем работ  подтверждается Актом.</t>
  </si>
  <si>
    <r>
      <t xml:space="preserve">Расценка на восстановление </t>
    </r>
    <r>
      <rPr>
        <b/>
        <sz val="10"/>
        <color rgb="FF0000FF"/>
        <rFont val="Consolas"/>
        <family val="3"/>
        <charset val="204"/>
      </rPr>
      <t xml:space="preserve">существующих газонных покрытий </t>
    </r>
    <r>
      <rPr>
        <sz val="10"/>
        <rFont val="Consolas"/>
        <family val="3"/>
        <charset val="204"/>
      </rPr>
      <t xml:space="preserve">после проведения земляных работ
Включает:
-оформление разрешительных документов
-исполнительной документации
-справки о выполнении ТУ от собственников инфраструктуры (администрации,Горзеленхоза ти др.)
-закрытие ордера в администрации
</t>
    </r>
    <r>
      <rPr>
        <b/>
        <sz val="10"/>
        <color rgb="FF0000FF"/>
        <rFont val="Consolas"/>
        <family val="3"/>
        <charset val="204"/>
      </rPr>
      <t xml:space="preserve">-не применяется совместно с расценками,в которых входит благоустройство
-не применяется на территориях,не имеющих благоустройства ранее.Необходимость применения подтверждается ТУ от администрации или собственника территорий на этапе ПИР, с документальным подтверждением наличия газонного покрытия в месте проведения работ до начала работ подрядчика в интересах Заказчика
-не применяется по умолчанию на любой грунтовой поверхности, в городской черте и вне её,без предварительного согласования с Заказчиком </t>
    </r>
  </si>
  <si>
    <r>
      <rPr>
        <sz val="10"/>
        <rFont val="Consolas"/>
        <family val="3"/>
        <charset val="204"/>
      </rPr>
      <t xml:space="preserve">Расценка на подъём горловины (переустройство горловины) </t>
    </r>
    <r>
      <rPr>
        <b/>
        <sz val="10"/>
        <color rgb="FF0000FF"/>
        <rFont val="Consolas"/>
        <family val="3"/>
        <charset val="204"/>
      </rPr>
      <t xml:space="preserve">существующего </t>
    </r>
    <r>
      <rPr>
        <sz val="10"/>
        <rFont val="Consolas"/>
        <family val="3"/>
        <charset val="204"/>
      </rPr>
      <t xml:space="preserve">колодца
Включает в себя:
- получение необходимых согласований и  разрешительной документации,оформление исполнительной документации
</t>
    </r>
    <r>
      <rPr>
        <b/>
        <sz val="10"/>
        <color rgb="FF0000FF"/>
        <rFont val="Consolas"/>
        <family val="3"/>
        <charset val="204"/>
      </rPr>
      <t>- работы выполнять только с применением ж/б опорных колец, применение колец из другого материала,в т.ч. и кирпича ,запрещено.
-не применяется на вновь устанавливаемых/перебиваемых колодцах</t>
    </r>
  </si>
  <si>
    <r>
      <t xml:space="preserve">Установка подземных смотровых устройств типа </t>
    </r>
    <r>
      <rPr>
        <b/>
        <sz val="10"/>
        <color rgb="FFFF0000"/>
        <rFont val="Consolas"/>
        <family val="3"/>
        <charset val="204"/>
      </rPr>
      <t>КОТ-1/КОТ-2</t>
    </r>
  </si>
  <si>
    <r>
      <t xml:space="preserve">Расценка на установку/замену опор
</t>
    </r>
    <r>
      <rPr>
        <sz val="10"/>
        <rFont val="Consolas"/>
        <family val="3"/>
        <charset val="204"/>
      </rPr>
      <t>- включает приобретение других необходимых расходных материалов и  комплектующих, в.т.ч. оснастки для подвеса/переподвеса ВОК и МПК
- включает устройство заземления
- включает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
- включает оформление разрешительных документов,справки о выполнении ТУ от собственников инфраструктуры или территорий; исполнительной документации по МР
- включает маркировку опор согласно "МУ по маркировке опор на сетях связи БИС" 
- использование расценки 5.21.1 подразумевает размещение деревянных пропитанных опор на ж/б приставках (сваях).</t>
    </r>
    <r>
      <rPr>
        <b/>
        <sz val="10"/>
        <color rgb="FFFF0000"/>
        <rFont val="Consolas"/>
        <family val="3"/>
        <charset val="204"/>
      </rPr>
      <t xml:space="preserve"> Установка деревянных опор просто в грунт запрещена.</t>
    </r>
    <r>
      <rPr>
        <sz val="10"/>
        <rFont val="Consolas"/>
        <family val="3"/>
        <charset val="204"/>
      </rPr>
      <t xml:space="preserve">
- включает демонтаж при замене, </t>
    </r>
    <r>
      <rPr>
        <b/>
        <sz val="10"/>
        <color rgb="FF0000FF"/>
        <rFont val="Consolas"/>
        <family val="3"/>
        <charset val="204"/>
      </rPr>
      <t>не применяется совместно с расценкой 5.28</t>
    </r>
    <r>
      <rPr>
        <sz val="10"/>
        <rFont val="Consolas"/>
        <family val="3"/>
        <charset val="204"/>
      </rPr>
      <t xml:space="preserve">
-</t>
    </r>
    <r>
      <rPr>
        <b/>
        <sz val="10"/>
        <color rgb="FF0000FF"/>
        <rFont val="Consolas"/>
        <family val="3"/>
        <charset val="204"/>
      </rPr>
      <t xml:space="preserve"> применяется для расчета затрат при использовании опорных плит-"стаканов" типа ОП-2 и пр.При этом стоимость такой ОП и всех сопутствующих работ по её транспортировке и установке принимается равной стоимости установки жб опоры по расценке 5.21.2.Стоимость устанавливаемой в "стакан" опоры учитывается отдельно.</t>
    </r>
    <r>
      <rPr>
        <b/>
        <sz val="10"/>
        <rFont val="Consolas"/>
        <family val="3"/>
        <charset val="204"/>
      </rPr>
      <t xml:space="preserve">
</t>
    </r>
  </si>
  <si>
    <r>
      <t xml:space="preserve">Расценка на укрепление/восстановление существующих опор Заказчика
</t>
    </r>
    <r>
      <rPr>
        <b/>
        <sz val="10"/>
        <color rgb="FF0000FF"/>
        <rFont val="Consolas"/>
        <family val="3"/>
        <charset val="204"/>
      </rPr>
      <t>- применяется исключительно по отдельному решению Заказчика для восстановления/ремонта существующих опор</t>
    </r>
    <r>
      <rPr>
        <sz val="10"/>
        <rFont val="Consolas"/>
        <family val="3"/>
        <charset val="204"/>
      </rPr>
      <t xml:space="preserve">
- включает выравнивание и перевязку деревянных опор на приставках/сваях со стоимостью материалов
- выравнивание любых опор
- установка/замена приставок/подпор/укосин со стоимостью материалов
- установка/замена оттяжек со стоимостью материалов</t>
    </r>
  </si>
  <si>
    <t>Применяется исключительно по отдельному решению Заказчика для объектов ВКЛС на опорах сторонних организаций.
- Применяется только при наличии требования по экспертизе опор,отраженного в ТУ от владельца сооружений.</t>
  </si>
  <si>
    <r>
      <t xml:space="preserve">Основная расценка для строительство кабельных вводов в здания от кабельных колодцев или опор
</t>
    </r>
    <r>
      <rPr>
        <sz val="10"/>
        <rFont val="Consolas"/>
        <family val="3"/>
        <charset val="204"/>
      </rPr>
      <t xml:space="preserve">-включает прокладку одной трубы </t>
    </r>
    <r>
      <rPr>
        <sz val="10"/>
        <color rgb="FFFF0000"/>
        <rFont val="Consolas"/>
        <family val="3"/>
        <charset val="204"/>
      </rPr>
      <t>п/э 63 мм или п/э,а/ц 100 мм</t>
    </r>
    <r>
      <rPr>
        <b/>
        <sz val="10"/>
        <color rgb="FFFF0000"/>
        <rFont val="Consolas"/>
        <family val="3"/>
        <charset val="204"/>
      </rPr>
      <t xml:space="preserve"> </t>
    </r>
    <r>
      <rPr>
        <sz val="10"/>
        <rFont val="Consolas"/>
        <family val="3"/>
        <charset val="204"/>
      </rPr>
      <t xml:space="preserve">от ближайшей точки трассы кабельной канализации до фасада здания с пробивкой (сверлением) и заделкой отверстий в стене или фундаменте здания 
- включает герметизацию проложенного канала с двух сторон (в колодце и подвале)
- включает восстановление отделки фасада и фундамента
-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 включает справки о выполнении ТУ от собственников инфраструктуры
- включает оформление исполнительной документации по МР
</t>
    </r>
    <r>
      <rPr>
        <b/>
        <sz val="10"/>
        <color rgb="FF0000FF"/>
        <rFont val="Consolas"/>
        <family val="3"/>
        <charset val="204"/>
      </rPr>
      <t>- не включает стоимость установки колодцев</t>
    </r>
    <r>
      <rPr>
        <sz val="10"/>
        <rFont val="Consolas"/>
        <family val="3"/>
        <charset val="204"/>
      </rPr>
      <t xml:space="preserve">
</t>
    </r>
    <r>
      <rPr>
        <b/>
        <sz val="10"/>
        <color rgb="FF0000FF"/>
        <rFont val="Consolas"/>
        <family val="3"/>
        <charset val="204"/>
      </rPr>
      <t>- протяженность ввода свыше 30 м учитывается по расценке 5.1.</t>
    </r>
    <r>
      <rPr>
        <sz val="10"/>
        <rFont val="Consolas"/>
        <family val="3"/>
        <charset val="204"/>
      </rPr>
      <t xml:space="preserve">
</t>
    </r>
    <r>
      <rPr>
        <b/>
        <sz val="10"/>
        <color rgb="FF0000FF"/>
        <rFont val="Consolas"/>
        <family val="3"/>
        <charset val="204"/>
      </rPr>
      <t>- если протяжённость ввода от 10 метров до 20 м, применяется дополнительно понижающий коэффициент- 0,7 (шаг 0,3 от 1)
- если протяжённость ввода от 1 метров до 10 м, применяется дополнительно понижающий коэффициент- 0,4 (шаг 0,3 от 0,7)</t>
    </r>
  </si>
  <si>
    <r>
      <t xml:space="preserve">Основная расценка для строительство кабельных выводов на здания/опоры от кабельных колодцев
</t>
    </r>
    <r>
      <rPr>
        <sz val="10"/>
        <rFont val="Consolas"/>
        <family val="3"/>
        <charset val="204"/>
      </rPr>
      <t xml:space="preserve">
-включает прокладку одной трубы </t>
    </r>
    <r>
      <rPr>
        <b/>
        <sz val="10"/>
        <color rgb="FFFF0000"/>
        <rFont val="Consolas"/>
        <family val="3"/>
        <charset val="204"/>
      </rPr>
      <t>п/э 63 мм или п/э,а/ц 100 мм</t>
    </r>
    <r>
      <rPr>
        <sz val="10"/>
        <rFont val="Consolas"/>
        <family val="3"/>
        <charset val="204"/>
      </rPr>
      <t xml:space="preserve"> от ближайшей точки трассы кабельной канализации до фасада здания/до опоры с  выходом на фасад здания (вывод на стену здания)/на опору
- включает герметизацию проложенного канала с двух сторон (в колодце и подвале)
- включает устройство ввода на стену или опору ("гусак")
- включает восстановление отделки фасада и фундамента
-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 включает справки о выполнении ТУ от собственников инфраструктуры
- включает оформление исполнительной документации по МР
</t>
    </r>
    <r>
      <rPr>
        <b/>
        <sz val="10"/>
        <color rgb="FF0000FF"/>
        <rFont val="Consolas"/>
        <family val="3"/>
        <charset val="204"/>
      </rPr>
      <t>- не включает стоимость установки колодцев</t>
    </r>
    <r>
      <rPr>
        <sz val="10"/>
        <rFont val="Consolas"/>
        <family val="3"/>
        <charset val="204"/>
      </rPr>
      <t xml:space="preserve">
</t>
    </r>
    <r>
      <rPr>
        <b/>
        <sz val="10"/>
        <color rgb="FF0000FF"/>
        <rFont val="Consolas"/>
        <family val="3"/>
        <charset val="204"/>
      </rPr>
      <t>- протяженность ввода свыше 30 м учитывается по расценке 5.1.</t>
    </r>
    <r>
      <rPr>
        <sz val="10"/>
        <rFont val="Consolas"/>
        <family val="3"/>
        <charset val="204"/>
      </rPr>
      <t xml:space="preserve">
</t>
    </r>
    <r>
      <rPr>
        <b/>
        <sz val="10"/>
        <color rgb="FF0000FF"/>
        <rFont val="Consolas"/>
        <family val="3"/>
        <charset val="204"/>
      </rPr>
      <t>- применяется понижающий коэффициент с шагом 0,1 на каждые "минус 3 метра" кабельного вывода от величины в 30 метров.НАпример для вывода в 27 метров это будет (1- 0,1) от расценки=0,9 от расценки...Для вывода в 12 метров это будет (1-0,1х6)= 0,4 от расценки.</t>
    </r>
    <r>
      <rPr>
        <sz val="10"/>
        <rFont val="Consolas"/>
        <family val="3"/>
        <charset val="204"/>
      </rPr>
      <t xml:space="preserve">
</t>
    </r>
  </si>
  <si>
    <r>
      <t xml:space="preserve">Расценка для точечной организации ввода на стену/опору из кабельной трассы
</t>
    </r>
    <r>
      <rPr>
        <sz val="10"/>
        <rFont val="Consolas"/>
        <family val="3"/>
        <charset val="204"/>
      </rPr>
      <t>- применяется там,где нужно сделать ввод/вывод,без строительства канала или для организации ввода/вывода на месте недействующего/неисправного ввода/вывода
- применяется исключительно по отдельному решению Заказчика для восстановления/ремонта существующих вводов/выводов,выдается в Заказе отдельно.</t>
    </r>
  </si>
  <si>
    <r>
      <t xml:space="preserve">Расценка на монтаж трубостойки для воздушно-кабельных переходов
</t>
    </r>
    <r>
      <rPr>
        <sz val="10"/>
        <color rgb="FF0000FF"/>
        <rFont val="Consolas"/>
        <family val="3"/>
        <charset val="204"/>
      </rPr>
      <t>-</t>
    </r>
    <r>
      <rPr>
        <b/>
        <sz val="10"/>
        <color rgb="FF0000FF"/>
        <rFont val="Consolas"/>
        <family val="3"/>
        <charset val="204"/>
      </rPr>
      <t xml:space="preserve"> не применяется совместно с расценками 3.3.х,4.4.х и 4.9.х.</t>
    </r>
    <r>
      <rPr>
        <sz val="10"/>
        <rFont val="Consolas"/>
        <family val="3"/>
        <charset val="204"/>
      </rPr>
      <t xml:space="preserve">
- используется для точечной установки трубостойки</t>
    </r>
  </si>
  <si>
    <r>
      <t xml:space="preserve">Расценки на демонтаж опор
</t>
    </r>
    <r>
      <rPr>
        <sz val="10"/>
        <rFont val="Consolas"/>
        <family val="3"/>
        <charset val="204"/>
      </rPr>
      <t xml:space="preserve">- включая демонтаж опор на приставках (сваях), с одной подпорой, опора с двумя подпорами, опора с приставкой, подпоры, укосины и т.п.При этом такая комбинированная опора счистается при демонтаже как одна позиция
</t>
    </r>
    <r>
      <rPr>
        <b/>
        <sz val="10"/>
        <color rgb="FF0000FF"/>
        <rFont val="Consolas"/>
        <family val="3"/>
        <charset val="204"/>
      </rPr>
      <t>- включает восстановление благоустройства после демонтажа,засыпка ям/провалов/котлованов,разравниваение грунта,восстановление зелёных зон, проезжей части и пешеходных дорожек, уборка строительного мусора</t>
    </r>
    <r>
      <rPr>
        <sz val="10"/>
        <rFont val="Consolas"/>
        <family val="3"/>
        <charset val="204"/>
      </rPr>
      <t xml:space="preserve">
- применяется по отдельному заказу</t>
    </r>
  </si>
  <si>
    <r>
      <t xml:space="preserve">Расценка на уличный шкаф (распределительный, без активного оборудования)
</t>
    </r>
    <r>
      <rPr>
        <sz val="10"/>
        <rFont val="Consolas"/>
        <family val="3"/>
        <charset val="204"/>
      </rPr>
      <t xml:space="preserve">- Оформление разрешительных документов на размещение,справки о выполнении ТУ от собственников инфраструктуры. </t>
    </r>
  </si>
  <si>
    <r>
      <t xml:space="preserve">Монтаж телекоммуникационного климатического шкафа </t>
    </r>
    <r>
      <rPr>
        <b/>
        <sz val="10"/>
        <color rgb="FF0000FF"/>
        <rFont val="Consolas"/>
        <family val="3"/>
        <charset val="204"/>
      </rPr>
      <t>на опоре/стен</t>
    </r>
    <r>
      <rPr>
        <sz val="10"/>
        <rFont val="Consolas"/>
        <family val="3"/>
        <charset val="204"/>
      </rPr>
      <t xml:space="preserve">е размером </t>
    </r>
    <r>
      <rPr>
        <b/>
        <sz val="10"/>
        <color rgb="FFFF0000"/>
        <rFont val="Consolas"/>
        <family val="3"/>
        <charset val="204"/>
      </rPr>
      <t xml:space="preserve">от (650х350Х650) </t>
    </r>
  </si>
  <si>
    <r>
      <t>Монтаж телекоммуникационного климатического шкафа</t>
    </r>
    <r>
      <rPr>
        <b/>
        <sz val="10"/>
        <color rgb="FF0000FF"/>
        <rFont val="Consolas"/>
        <family val="3"/>
        <charset val="204"/>
      </rPr>
      <t xml:space="preserve"> на опоре/стене</t>
    </r>
    <r>
      <rPr>
        <sz val="10"/>
        <rFont val="Consolas"/>
        <family val="3"/>
        <charset val="204"/>
      </rPr>
      <t xml:space="preserve"> размером </t>
    </r>
    <r>
      <rPr>
        <b/>
        <sz val="10"/>
        <color rgb="FFFF0000"/>
        <rFont val="Consolas"/>
        <family val="3"/>
        <charset val="204"/>
      </rPr>
      <t xml:space="preserve">от (650х350Х650) </t>
    </r>
  </si>
  <si>
    <r>
      <t xml:space="preserve">Монтаж контейнера </t>
    </r>
    <r>
      <rPr>
        <b/>
        <sz val="10"/>
        <color rgb="FF0000FF"/>
        <rFont val="Consolas"/>
        <family val="3"/>
        <charset val="204"/>
      </rPr>
      <t>(уличного)</t>
    </r>
    <r>
      <rPr>
        <sz val="10"/>
        <color rgb="FF000000"/>
        <rFont val="Consolas"/>
        <family val="3"/>
        <charset val="204"/>
      </rPr>
      <t xml:space="preserve"> площадью</t>
    </r>
    <r>
      <rPr>
        <b/>
        <sz val="10"/>
        <color rgb="FFFF0000"/>
        <rFont val="Consolas"/>
        <family val="3"/>
        <charset val="204"/>
      </rPr>
      <t xml:space="preserve"> от 3,45 м2</t>
    </r>
  </si>
  <si>
    <r>
      <t xml:space="preserve">Расценка на </t>
    </r>
    <r>
      <rPr>
        <b/>
        <sz val="10"/>
        <color rgb="FF0000FF"/>
        <rFont val="Consolas"/>
        <family val="3"/>
        <charset val="204"/>
      </rPr>
      <t>уличное</t>
    </r>
    <r>
      <rPr>
        <b/>
        <sz val="10"/>
        <rFont val="Consolas"/>
        <family val="3"/>
        <charset val="204"/>
      </rPr>
      <t xml:space="preserve"> ограждение
</t>
    </r>
    <r>
      <rPr>
        <sz val="10"/>
        <rFont val="Consolas"/>
        <family val="3"/>
        <charset val="204"/>
      </rPr>
      <t>- применяется по отдельному Заказу
- для организации огражднией контейнеров, шкафов,мачт и пр. сооружений связи на усмотрение Заказчика</t>
    </r>
  </si>
  <si>
    <r>
      <t xml:space="preserve">Расценка на доумощнение МПК 10х2,25х2,50х2
</t>
    </r>
    <r>
      <rPr>
        <sz val="10"/>
        <rFont val="Consolas"/>
        <family val="3"/>
        <charset val="204"/>
      </rPr>
      <t>- применяется на существующих сетях при модернизации ДРС (доумощнении ёмкости ДРС)
- применяется при строительстве "комплексных новостроек" для расширения ДРС под доп. услуги, где увеличение ёмскости ДРС не учтывается стоимостью "порта"
- применяется при строительстве отдельной ДРС для реализации проекта "ключ" на объектах Комплексных новостроек
- применяется при строительстве стандартной застройки и новостроек по отдельному решению и согласованию Заказчика для размещения дополнительных ШАН/КБ/КЯ/ЯР/КРТ на этажах при определенных тех. решениях на Объекте,приводящей к превышению расчётной ёмкости ДРС по ТЗ (для ДРС , не учтённой стоимостью "порта")
- применяется по отдельному Заказу от Заказчика на любых других объектах, с целью точечной прокладки МПК в интересах Заказчика
- включает восстановление отделки поверхностей; прокладку и монтаж кабеля по трубостойкам; бирки и наклейки, расшивку кабелей на патч-панели/плинты с двух сторон; монтаж муфт распределительных,монтаж ШАН/КБ/КЯ/ЯР/КРТ, укомплектованных патч-панелями/плинтами (со стоимостью ШАН/КБ/КЯ/ЯР/КРТ; патч-панелей/плинтов),монтаж проходных коробок под распределительные муфты. Со стоимостью всех материалов, включая прочие затраты
- включает исполнительную документацию по МР</t>
    </r>
  </si>
  <si>
    <r>
      <t xml:space="preserve">Расценка на слаботочные стояки в домах (обычные ПВХ)
</t>
    </r>
    <r>
      <rPr>
        <sz val="10"/>
        <rFont val="Consolas"/>
        <family val="3"/>
        <charset val="204"/>
      </rPr>
      <t xml:space="preserve">- применяется при строительстве слаботочных стояков (больше 30 % на подъезд) под размещение кабелей ДРС и АЛ сетей  доступа Заказчика
- должны быть трубы ПВХ </t>
    </r>
    <r>
      <rPr>
        <b/>
        <sz val="10"/>
        <color rgb="FFFF0000"/>
        <rFont val="Consolas"/>
        <family val="3"/>
        <charset val="204"/>
      </rPr>
      <t>50 мм.</t>
    </r>
    <r>
      <rPr>
        <sz val="10"/>
        <rFont val="Consolas"/>
        <family val="3"/>
        <charset val="204"/>
      </rPr>
      <t>(светло-серые или белые). Трубы меньшего диаметра только по отдельному согласованию с Заказчиком
- включает комплекс работ по восстановлению отделки поверхностей после производства работ,заделку отверстий, покраску восстановленных участков под цвет основных поверхностей помещения/подъезда
- включает покраску установленных стояков в определённый цвет, если это является условием Застройщика/УК/ТС</t>
    </r>
    <r>
      <rPr>
        <b/>
        <sz val="10"/>
        <rFont val="Consolas"/>
        <family val="3"/>
        <charset val="204"/>
      </rPr>
      <t>Ж</t>
    </r>
  </si>
  <si>
    <r>
      <t>СМР, ПИР, прочие затраты, не ограничиваясь перечисленным: монтаж стальной трубы для трубостойки диаметром</t>
    </r>
    <r>
      <rPr>
        <sz val="10"/>
        <color rgb="FFFF0000"/>
        <rFont val="Consolas"/>
        <family val="3"/>
        <charset val="204"/>
      </rPr>
      <t xml:space="preserve"> 60 мм</t>
    </r>
    <r>
      <rPr>
        <sz val="10"/>
        <color theme="1"/>
        <rFont val="Consolas"/>
        <family val="3"/>
        <charset val="204"/>
      </rPr>
      <t xml:space="preserve"> (включая стоимость металлической трубы и расходных материалов), в том числе пробивка/сверление отверстий, герметизация.</t>
    </r>
  </si>
  <si>
    <r>
      <t xml:space="preserve">Расценка на слаботочные стояки в домах (металлические)
</t>
    </r>
    <r>
      <rPr>
        <sz val="10"/>
        <rFont val="Consolas"/>
        <family val="3"/>
        <charset val="204"/>
      </rPr>
      <t>- применяется в виде исключения при строительстве слаботочных стояков под размещение кабелей ДРС и АЛ сетей  доступа Заказчика по отдельному согласованию Заказчика
- трубы меньшего диаметра только по отдельному согласованию с Заказчиком
- включает комплекс работ по восстановлению отделки поверхностей после производства работ,заделку отверстий, покраску восстановленных участков под цвет основных поверхностей помещения/подъезда
- включает обязательную покраску установленных стояков в определенённый цвет (с предварительной грунтовкой)</t>
    </r>
  </si>
  <si>
    <r>
      <t xml:space="preserve">Расценка на сверление перекрытий
</t>
    </r>
    <r>
      <rPr>
        <sz val="10"/>
        <rFont val="Consolas"/>
        <family val="3"/>
        <charset val="204"/>
      </rPr>
      <t xml:space="preserve">- применяется только для сверления перекрытий для точечных (разовых) установок стояков и пр. (1-2 стояка на подъезд,если больше,то все стояки считаются по по расценке 6.4.)
- включает установку трубы ПВХ 50 мм (слаботочный стояк)
</t>
    </r>
    <r>
      <rPr>
        <b/>
        <sz val="10"/>
        <color rgb="FF0000FF"/>
        <rFont val="Consolas"/>
        <family val="3"/>
        <charset val="204"/>
      </rPr>
      <t>- не применяется совместно с расценкой 6.4.</t>
    </r>
    <r>
      <rPr>
        <b/>
        <sz val="10"/>
        <rFont val="Consolas"/>
        <family val="3"/>
        <charset val="204"/>
      </rPr>
      <t xml:space="preserve">
</t>
    </r>
  </si>
  <si>
    <r>
      <t xml:space="preserve">Расценка на строительство аналогового "классического"  КТВ
</t>
    </r>
    <r>
      <rPr>
        <b/>
        <sz val="10"/>
        <color rgb="FF0000FF"/>
        <rFont val="Consolas"/>
        <family val="3"/>
        <charset val="204"/>
      </rPr>
      <t>В данной расценке единица измрения "1 дх" означает 1 точку подключения КТВ. Количество точек подключения определяется Заказчиком и не обязано совпадать с количеством дх на Объекте.</t>
    </r>
    <r>
      <rPr>
        <b/>
        <sz val="10"/>
        <color rgb="FF000000"/>
        <rFont val="Consolas"/>
        <family val="3"/>
        <charset val="204"/>
      </rPr>
      <t xml:space="preserve">
</t>
    </r>
    <r>
      <rPr>
        <sz val="10"/>
        <color rgb="FF000000"/>
        <rFont val="Consolas"/>
        <family val="3"/>
        <charset val="204"/>
      </rPr>
      <t xml:space="preserve">- включает строительство ДРС КТВ с прокладкой RG
- включает монтаж АК, делителей, ответвителей, нагрузок, шнуров
- включает монтаж активного оборудования (оптические приемники), прочих затрат;
- включает оформление разрешительных документов (включая все согласования) необходимых при строительстве ДРС КТВ
- включает оформление исполнительной документации по МР
</t>
    </r>
    <r>
      <rPr>
        <b/>
        <sz val="10"/>
        <color rgb="FF0000FF"/>
        <rFont val="Consolas"/>
        <family val="3"/>
        <charset val="204"/>
      </rPr>
      <t>- не включает  стоимость оптического приемника КТВ
- не включает стоимость строительства АГС КТВ (АГС по расценке 6.44 или 6.45)
- не применяется совместно с расценками 6.58 и 6.59</t>
    </r>
  </si>
  <si>
    <r>
      <t xml:space="preserve">Расценки на доумощнение (модернизацию) ДРС GPON
</t>
    </r>
    <r>
      <rPr>
        <sz val="10"/>
        <rFont val="Consolas"/>
        <family val="3"/>
        <charset val="204"/>
      </rPr>
      <t>- включая строительство горизонтальных участков трубостоек между подъездами (при необходимости, определяемой проектными решениями)
- включает восстановление отделки поверхностей; прокладку и монтаж кабеля по трубостойкам
- включает бирки и наклейки, расшивку кабелей на патч-панели/плинты с двух сторон
- включает монтаж проходных коробок под распределительные муфты (при необходимости)
- включает исполнительную документацию по МР.</t>
    </r>
  </si>
  <si>
    <r>
      <t xml:space="preserve">Расценка на монтаж/замену ОРК в существующих сетях GPON (ДРС в МКД)
</t>
    </r>
    <r>
      <rPr>
        <b/>
        <sz val="10"/>
        <color rgb="FF0000FF"/>
        <rFont val="Consolas"/>
        <family val="3"/>
        <charset val="204"/>
      </rPr>
      <t>- не применяется для ДМ на сетях GPON в коттеджной застройке</t>
    </r>
    <r>
      <rPr>
        <sz val="10"/>
        <color theme="1"/>
        <rFont val="Consolas"/>
        <family val="3"/>
        <charset val="204"/>
      </rPr>
      <t xml:space="preserve">
- может применяться как отдельно,так и в связке с расценкой 6.10</t>
    </r>
  </si>
  <si>
    <r>
      <t xml:space="preserve">Расценка на сварку ОВ при монтаже/замене ОРК в существующих сетях GPON (ДРС в МКД)
</t>
    </r>
    <r>
      <rPr>
        <b/>
        <sz val="10"/>
        <color rgb="FF0000FF"/>
        <rFont val="Consolas"/>
        <family val="3"/>
        <charset val="204"/>
      </rPr>
      <t>- не применяется для ДМ на сетях GPON в коттеджной застройке</t>
    </r>
    <r>
      <rPr>
        <sz val="10"/>
        <color theme="1"/>
        <rFont val="Consolas"/>
        <family val="3"/>
        <charset val="204"/>
      </rPr>
      <t xml:space="preserve">
- может применяться как отдельно,так и в связке с расценкой 6.9</t>
    </r>
  </si>
  <si>
    <r>
      <t xml:space="preserve">Расценка на монтаж/замену сплиттера 2-го каскада (УСМ) в существующих сетях GPON (ДРС в МКД, распределительной сети коттеджной застройки)
</t>
    </r>
    <r>
      <rPr>
        <sz val="10"/>
        <color theme="1"/>
        <rFont val="Consolas"/>
        <family val="3"/>
        <charset val="204"/>
      </rPr>
      <t>- применяется для сплиттеров с любым коэффициентов сплиттирования</t>
    </r>
    <r>
      <rPr>
        <b/>
        <sz val="10"/>
        <color theme="1"/>
        <rFont val="Consolas"/>
        <family val="3"/>
        <charset val="204"/>
      </rPr>
      <t xml:space="preserve">
</t>
    </r>
  </si>
  <si>
    <r>
      <t xml:space="preserve">Расценка на монтаж/замену ОРШ в существующих сетях GPON (ДРС в МКД, магистральной/распределительной сети коттеджной застройки)
</t>
    </r>
    <r>
      <rPr>
        <sz val="10"/>
        <color theme="1"/>
        <rFont val="Consolas"/>
        <family val="3"/>
        <charset val="204"/>
      </rPr>
      <t>- включает все работы по переносу существущих сетей Заказчика в устанавливаемый ОРШ
- включает стоимость крепежных элементов ОРШ и УПМК для ВОК (при необходимости монтажа/замены)
- включает стомость имиджевых наклеек на ОРШ
- включет обязательное требование по согласованию применяемого ОРШ с Заказчиком до начала работ
- включает согласование работ с владельцем сооружений (опор, помещений и т.д.), в т.ч. и УК/ТСЖ/собственниками жилых помещений в МКД</t>
    </r>
  </si>
  <si>
    <r>
      <t xml:space="preserve">Расценка на доумощнение (модернизацию) ДРС GPON в МКД, двухкаскадной сети GPON в коттеджной застройке
</t>
    </r>
    <r>
      <rPr>
        <sz val="10"/>
        <color theme="1"/>
        <rFont val="Consolas"/>
        <family val="3"/>
        <charset val="204"/>
      </rPr>
      <t>- применяется как для сплиттеров 1-го каскада, так и для сплиттеров 2-го каскада</t>
    </r>
    <r>
      <rPr>
        <b/>
        <sz val="10"/>
        <color theme="1"/>
        <rFont val="Consolas"/>
        <family val="3"/>
        <charset val="204"/>
      </rPr>
      <t xml:space="preserve">
</t>
    </r>
  </si>
  <si>
    <r>
      <t xml:space="preserve">Расценки на прокладку металлических лотков размером </t>
    </r>
    <r>
      <rPr>
        <b/>
        <sz val="10"/>
        <color rgb="FFFF0000"/>
        <rFont val="Consolas"/>
        <family val="3"/>
        <charset val="204"/>
      </rPr>
      <t>до 400 мм</t>
    </r>
    <r>
      <rPr>
        <b/>
        <sz val="10"/>
        <color rgb="FF000000"/>
        <rFont val="Consolas"/>
        <family val="3"/>
        <charset val="204"/>
      </rPr>
      <t xml:space="preserve">
</t>
    </r>
    <r>
      <rPr>
        <sz val="10"/>
        <color rgb="FF000000"/>
        <rFont val="Consolas"/>
        <family val="3"/>
        <charset val="204"/>
      </rPr>
      <t>- включает полный комплекс работ , в т.ч. и заделку отверстий с восстановлением поверхностей и их отделки</t>
    </r>
  </si>
  <si>
    <r>
      <t xml:space="preserve">Расценки на прокладку трубок,гофротрубок и кабельных каналов/коробов из ПВХ </t>
    </r>
    <r>
      <rPr>
        <b/>
        <sz val="10"/>
        <color rgb="FF0000FF"/>
        <rFont val="Consolas"/>
        <family val="3"/>
        <charset val="204"/>
      </rPr>
      <t>различного диаметра и размера</t>
    </r>
    <r>
      <rPr>
        <b/>
        <sz val="10"/>
        <rFont val="Consolas"/>
        <family val="3"/>
        <charset val="204"/>
      </rPr>
      <t xml:space="preserve">
</t>
    </r>
    <r>
      <rPr>
        <sz val="10"/>
        <rFont val="Consolas"/>
        <family val="3"/>
        <charset val="204"/>
      </rPr>
      <t xml:space="preserve">
- включает полный комплекс работ , в т.ч. и заделку отверстий с восстановлением поверхностей и их отделки
- включает ,в т.ч., и закладные каналы типа Уникор</t>
    </r>
    <r>
      <rPr>
        <b/>
        <sz val="10"/>
        <rFont val="Consolas"/>
        <family val="3"/>
        <charset val="204"/>
      </rPr>
      <t xml:space="preserve">
</t>
    </r>
  </si>
  <si>
    <r>
      <t xml:space="preserve">Расценки на прокладку металлического металлорукава диаметром </t>
    </r>
    <r>
      <rPr>
        <b/>
        <sz val="10"/>
        <color rgb="FFFF0000"/>
        <rFont val="Consolas"/>
        <family val="3"/>
        <charset val="204"/>
      </rPr>
      <t>до 38 мм</t>
    </r>
    <r>
      <rPr>
        <b/>
        <sz val="10"/>
        <rFont val="Consolas"/>
        <family val="3"/>
        <charset val="204"/>
      </rPr>
      <t xml:space="preserve">
</t>
    </r>
    <r>
      <rPr>
        <sz val="10"/>
        <rFont val="Consolas"/>
        <family val="3"/>
        <charset val="204"/>
      </rPr>
      <t>- включает полный комплекс работ , в т.ч. и заделку отверстий с восстановлением поверхностей и их отделки
- включает устройство  отверстий в стенах с заделкой (с установкой гильз)
- стоимость металлорукава учитывает разновидности: антивандальный с замком/с уплотнителем/из нержавеющей стали/из алюминиевой ленты/из алюминиевой ленты с уплотителем/металлорукав в ПВХ изоляции (негорючий/с протяжкой/морозостойкий/маслостойкий/термостойкий). Тип и разновидность применяемого металлорукава определяются с согласованием у Заказчика на этапе ПИР,с указанием условий эксплуатации, требований и условий согласования со стороны третьих лиц и организаций.
- включает маркировку имиджевыми идентификационными наклейками
- оформление исполнительной документации по МР</t>
    </r>
  </si>
  <si>
    <r>
      <t xml:space="preserve">Расценка на  оптический патч-корд длиной </t>
    </r>
    <r>
      <rPr>
        <b/>
        <sz val="10"/>
        <color rgb="FFFF0000"/>
        <rFont val="Consolas"/>
        <family val="3"/>
        <charset val="204"/>
      </rPr>
      <t>до 3 м; от 3 до 10 м., от 10 до 50 м.</t>
    </r>
    <r>
      <rPr>
        <b/>
        <sz val="10"/>
        <rFont val="Consolas"/>
        <family val="3"/>
        <charset val="204"/>
      </rPr>
      <t xml:space="preserve">
</t>
    </r>
    <r>
      <rPr>
        <sz val="10"/>
        <rFont val="Consolas"/>
        <family val="3"/>
        <charset val="204"/>
      </rPr>
      <t xml:space="preserve">- включает duplex/simpex, любой разъем, любая полировка
</t>
    </r>
  </si>
  <si>
    <r>
      <t xml:space="preserve">Расценка на сварку/переварку одного оптического волокна(ОВ) в ВОК
</t>
    </r>
    <r>
      <rPr>
        <b/>
        <sz val="10"/>
        <color rgb="FF0000FF"/>
        <rFont val="Consolas"/>
        <family val="3"/>
        <charset val="204"/>
      </rPr>
      <t>- не применимо совместно с расценками всех разделов ,в которых уже учтена сварка ОВ</t>
    </r>
    <r>
      <rPr>
        <sz val="10"/>
        <rFont val="Consolas"/>
        <family val="3"/>
        <charset val="204"/>
      </rPr>
      <t xml:space="preserve">
- включает получение и оплату всех необходимых разрешений, согласований на право доступа и проведения работ
- включает исполнительную документацию по МР
- данные работы выполняются по отдельному Заказу со стороны Заказчика</t>
    </r>
    <r>
      <rPr>
        <b/>
        <sz val="10"/>
        <rFont val="Consolas"/>
        <family val="3"/>
        <charset val="204"/>
      </rPr>
      <t xml:space="preserve">
</t>
    </r>
  </si>
  <si>
    <r>
      <t xml:space="preserve">Прокладка и монтаж силового кабеля ёмкостью </t>
    </r>
    <r>
      <rPr>
        <b/>
        <sz val="10"/>
        <color rgb="FFFF0000"/>
        <rFont val="Consolas"/>
        <family val="3"/>
        <charset val="204"/>
      </rPr>
      <t>до 4х2,5мм2</t>
    </r>
    <r>
      <rPr>
        <sz val="10"/>
        <color theme="1"/>
        <rFont val="Consolas"/>
        <family val="3"/>
        <charset val="204"/>
      </rPr>
      <t xml:space="preserve"> </t>
    </r>
    <r>
      <rPr>
        <b/>
        <sz val="10"/>
        <color rgb="FF0000FF"/>
        <rFont val="Consolas"/>
        <family val="3"/>
        <charset val="204"/>
      </rPr>
      <t>по опорам/конструкциям/стенам, включая внутриобъектовую прокладку</t>
    </r>
    <r>
      <rPr>
        <sz val="10"/>
        <color theme="1"/>
        <rFont val="Consolas"/>
        <family val="3"/>
        <charset val="204"/>
      </rPr>
      <t xml:space="preserve"> для различных подключений </t>
    </r>
    <r>
      <rPr>
        <b/>
        <sz val="10"/>
        <color rgb="FFFF0000"/>
        <rFont val="Consolas"/>
        <family val="3"/>
        <charset val="204"/>
      </rPr>
      <t>сверх 20/50 м</t>
    </r>
  </si>
  <si>
    <r>
      <t xml:space="preserve">ПИР, 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длиной </t>
    </r>
    <r>
      <rPr>
        <b/>
        <sz val="10"/>
        <color rgb="FFFF0000"/>
        <rFont val="Consolas"/>
        <family val="3"/>
        <charset val="204"/>
      </rPr>
      <t>20м</t>
    </r>
    <r>
      <rPr>
        <sz val="10"/>
        <color theme="1"/>
        <rFont val="Consolas"/>
        <family val="3"/>
        <charset val="204"/>
      </rPr>
      <t xml:space="preserve"> (при необходимости), стоимость монтажных материалов;  Оформление разрешительных документов, исполнительной документации.
</t>
    </r>
    <r>
      <rPr>
        <b/>
        <sz val="10"/>
        <color rgb="FF0000FF"/>
        <rFont val="Consolas"/>
        <family val="3"/>
        <charset val="204"/>
      </rPr>
      <t>Не включено:  стоимость укомплектованного шкафа,  монтаж и стоимость активного оборудования.</t>
    </r>
  </si>
  <si>
    <r>
      <t xml:space="preserve">Расценка на монтаж оптических кроссовых шкафов (блочных,стоечных,настенных)
</t>
    </r>
    <r>
      <rPr>
        <sz val="10"/>
        <color rgb="FF000000"/>
        <rFont val="Consolas"/>
        <family val="3"/>
        <charset val="204"/>
      </rPr>
      <t>- применяется для оптических шкафов любой ёмкости
- включает восстановление поверхностей и их отделки после монтажа;
- без учёта стоимости сварки ОВ вводимого/оконечиваемого ВОК.</t>
    </r>
  </si>
  <si>
    <r>
      <t xml:space="preserve">Расценки на монтаж оборудования в шкафы/стойки ёмкостью </t>
    </r>
    <r>
      <rPr>
        <b/>
        <sz val="10"/>
        <color rgb="FFFF0000"/>
        <rFont val="Consolas"/>
        <family val="3"/>
        <charset val="204"/>
      </rPr>
      <t>свыше 4U</t>
    </r>
    <r>
      <rPr>
        <b/>
        <sz val="10"/>
        <rFont val="Consolas"/>
        <family val="3"/>
        <charset val="204"/>
      </rPr>
      <t xml:space="preserve"> ( в комплектах)
</t>
    </r>
    <r>
      <rPr>
        <sz val="10"/>
        <rFont val="Consolas"/>
        <family val="3"/>
        <charset val="204"/>
      </rPr>
      <t xml:space="preserve">
- включает электромонтажные работы (при необходимости) и стоимость силового кабеля (при необходимости)
- включает бирки на кабель. 
</t>
    </r>
    <r>
      <rPr>
        <b/>
        <sz val="10"/>
        <color rgb="FF0000FF"/>
        <rFont val="Consolas"/>
        <family val="3"/>
        <charset val="204"/>
      </rPr>
      <t>- не включает стоимость  активного оборудования, монтаж и стоимость стойки, шкафа</t>
    </r>
    <r>
      <rPr>
        <sz val="10"/>
        <rFont val="Consolas"/>
        <family val="3"/>
        <charset val="204"/>
      </rPr>
      <t xml:space="preserve">
- оформление исполнительной документации по МР</t>
    </r>
  </si>
  <si>
    <r>
      <t xml:space="preserve">Расценки на монтаж оборудования в шкафы/стойки ёмкостью </t>
    </r>
    <r>
      <rPr>
        <b/>
        <sz val="10"/>
        <color rgb="FFFF0000"/>
        <rFont val="Consolas"/>
        <family val="3"/>
        <charset val="204"/>
      </rPr>
      <t>до 4U</t>
    </r>
    <r>
      <rPr>
        <b/>
        <sz val="10"/>
        <rFont val="Consolas"/>
        <family val="3"/>
        <charset val="204"/>
      </rPr>
      <t xml:space="preserve"> (в ед. оборудования)
</t>
    </r>
    <r>
      <rPr>
        <sz val="10"/>
        <rFont val="Consolas"/>
        <family val="3"/>
        <charset val="204"/>
      </rPr>
      <t xml:space="preserve">- включает электромонтажные работы (при необходимости) и стоимость силового кабеля (при необходимости)
- включает бирки на кабель. 
</t>
    </r>
    <r>
      <rPr>
        <b/>
        <sz val="10"/>
        <color rgb="FF0000FF"/>
        <rFont val="Consolas"/>
        <family val="3"/>
        <charset val="204"/>
      </rPr>
      <t>- не включает стоимость  активного оборудования, монтаж и стоимость стойки, шкафа</t>
    </r>
    <r>
      <rPr>
        <sz val="10"/>
        <rFont val="Consolas"/>
        <family val="3"/>
        <charset val="204"/>
      </rPr>
      <t xml:space="preserve">
- оформление исполнительной документации по МР</t>
    </r>
  </si>
  <si>
    <r>
      <t xml:space="preserve">Расценка на монтаж второго и последующего экземпляра оборудоваия в шкафы и стойки
</t>
    </r>
    <r>
      <rPr>
        <sz val="10"/>
        <rFont val="Consolas"/>
        <family val="3"/>
        <charset val="204"/>
      </rPr>
      <t>- включает работы на стойках
- включает оформление разрешительных документов на доступ к шкафу/стойке
- включает оформление исполнительной документации по МР</t>
    </r>
  </si>
  <si>
    <r>
      <t xml:space="preserve">Расценка на обновление ПО
</t>
    </r>
    <r>
      <rPr>
        <sz val="10"/>
        <color rgb="FF000000"/>
        <rFont val="Consolas"/>
        <family val="3"/>
        <charset val="204"/>
      </rPr>
      <t>- данные работы выполняются по отдельному Заказу со стороны Заказчика</t>
    </r>
  </si>
  <si>
    <t>Монтаж АТС, MSAN (без учета стоимости оборудования)</t>
  </si>
  <si>
    <r>
      <t xml:space="preserve">Расценки на монтаж АТС (любых типов, аналоговые/цифровые/гибридные)
</t>
    </r>
    <r>
      <rPr>
        <sz val="10"/>
        <rFont val="Consolas"/>
        <family val="3"/>
        <charset val="204"/>
      </rPr>
      <t xml:space="preserve">- включает оформление исполнительной документации по МР
- включает восстановление поверхностей и их отделки после монтажа
</t>
    </r>
    <r>
      <rPr>
        <b/>
        <sz val="10"/>
        <color rgb="FF0000FF"/>
        <rFont val="Consolas"/>
        <family val="3"/>
        <charset val="204"/>
      </rPr>
      <t>- не включает стоимость самой АТС</t>
    </r>
  </si>
  <si>
    <r>
      <t xml:space="preserve">Расценка на монтаж патч-панели </t>
    </r>
    <r>
      <rPr>
        <b/>
        <sz val="10"/>
        <color rgb="FFFF0000"/>
        <rFont val="Consolas"/>
        <family val="3"/>
        <charset val="204"/>
      </rPr>
      <t>12 или 24 порта</t>
    </r>
    <r>
      <rPr>
        <b/>
        <sz val="10"/>
        <rFont val="Consolas"/>
        <family val="3"/>
        <charset val="204"/>
      </rPr>
      <t xml:space="preserve">
</t>
    </r>
    <r>
      <rPr>
        <b/>
        <sz val="10"/>
        <color rgb="FF0000FF"/>
        <rFont val="Consolas"/>
        <family val="3"/>
        <charset val="204"/>
      </rPr>
      <t>- не применимо совместно с расценками всех разделов ,в которых уже учтена концевая заделка на патч-панель МПК/медных кабелей в составе ДРС или отдельно
- не применяется для концевой заделки вновь прокладываемых кабелей</t>
    </r>
    <r>
      <rPr>
        <sz val="10"/>
        <rFont val="Consolas"/>
        <family val="3"/>
        <charset val="204"/>
      </rPr>
      <t xml:space="preserve">
- применяется для концевой заделки существующих кабелей или замены концевой заделки с заменой оконечного устройства (патч-панели) по отдельному заказу Заказчика</t>
    </r>
  </si>
  <si>
    <r>
      <t xml:space="preserve">Расценка на демонтаж шкафа/стойки ёмкостью </t>
    </r>
    <r>
      <rPr>
        <b/>
        <sz val="10"/>
        <color rgb="FFFF0000"/>
        <rFont val="Consolas"/>
        <family val="3"/>
        <charset val="204"/>
      </rPr>
      <t>до 24U или до 48U</t>
    </r>
    <r>
      <rPr>
        <b/>
        <sz val="10"/>
        <rFont val="Consolas"/>
        <family val="3"/>
        <charset val="204"/>
      </rPr>
      <t xml:space="preserve">
</t>
    </r>
    <r>
      <rPr>
        <sz val="10"/>
        <rFont val="Consolas"/>
        <family val="3"/>
        <charset val="204"/>
      </rPr>
      <t xml:space="preserve">- включает восстановление поверхностей и их отделки помещений/мест размещения после монтажа (при необходимости,указывается в Заказе)
- включает оформление разрешительных документов на доступ к шкафу/стойке, помещению или территории размещения
- включает передачу Заказчику вместе с демонтированным шкафом/стойкой набора крепежных и соединительных элементов с предыдущего места установки
- включает восстановление лакокрасочного покрытия демонтированного шкафа/стойки,пострадавшего с момента передачи в демонтаж и до момента передачи Заказчику по акту сдачи-приёмки на новом месте установки или на складе Заказчика
- включает восстановление комплектности крепежных,соединительных и конструктивных элементов демонтированного шкафа/стойки,утеря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
</t>
    </r>
    <r>
      <rPr>
        <b/>
        <sz val="10"/>
        <color rgb="FF0000FF"/>
        <rFont val="Consolas"/>
        <family val="3"/>
        <charset val="204"/>
      </rPr>
      <t>- не включает демонтаж оборудования из шкафа/стойки.Демонтаж активного обюорудования,ВРУ и пр. см. расценку 6.37</t>
    </r>
  </si>
  <si>
    <r>
      <t xml:space="preserve">Расценка на демонтаж оборудования размером </t>
    </r>
    <r>
      <rPr>
        <b/>
        <sz val="10"/>
        <color rgb="FFFF0000"/>
        <rFont val="Consolas"/>
        <family val="3"/>
        <charset val="204"/>
      </rPr>
      <t>до  4U</t>
    </r>
    <r>
      <rPr>
        <b/>
        <sz val="10"/>
        <rFont val="Consolas"/>
        <family val="3"/>
        <charset val="204"/>
      </rPr>
      <t xml:space="preserve"> из шкафов/стоек
</t>
    </r>
    <r>
      <rPr>
        <sz val="10"/>
        <rFont val="Consolas"/>
        <family val="3"/>
        <charset val="204"/>
      </rPr>
      <t>- включает оформление разрешительных документов на доступ к шкафу/стойке, помещению или территории размещения
- включает передачу Заказчику вместе с демонтированным оборудованием набора крепежных и соединительных элементов с предыдущего места установки, включая патч-корды и т.п.
- включает восстановление лакокрасочного покрытия демонтированного оборудования,пострадавшего с момента передачи в демонтаж и до момента передачи Заказчику по акту сдачи-приёмки на новом месте установки или на складе Заказчика
- включает восстановление комплектности крепежных,соединительных и конструктивных элементов демонтированного оборудования,утеря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t>
    </r>
    <r>
      <rPr>
        <b/>
        <sz val="10"/>
        <rFont val="Consolas"/>
        <family val="3"/>
        <charset val="204"/>
      </rPr>
      <t xml:space="preserve">
</t>
    </r>
  </si>
  <si>
    <t>Расценки для строительства АГС (абонентской горизонтальной сети) [организация абонентских линий от оконечных устройств строящихся сетей ШПД FTTB и FTTH до розетки в дх].АГС КТВ см. расценку 6.44 и 6.45</t>
  </si>
  <si>
    <r>
      <t xml:space="preserve">Расценка на АЛ из UTP </t>
    </r>
    <r>
      <rPr>
        <b/>
        <sz val="10"/>
        <color rgb="FFFF0000"/>
        <rFont val="Consolas"/>
        <family val="3"/>
        <charset val="204"/>
      </rPr>
      <t>4х2</t>
    </r>
    <r>
      <rPr>
        <b/>
        <sz val="10"/>
        <color theme="1"/>
        <rFont val="Consolas"/>
        <family val="3"/>
        <charset val="204"/>
      </rPr>
      <t xml:space="preserve"> </t>
    </r>
    <r>
      <rPr>
        <b/>
        <sz val="10"/>
        <color rgb="FF0000FF"/>
        <rFont val="Consolas"/>
        <family val="3"/>
        <charset val="204"/>
      </rPr>
      <t xml:space="preserve">открытым способом/по существующим </t>
    </r>
    <r>
      <rPr>
        <b/>
        <sz val="10"/>
        <color theme="1"/>
        <rFont val="Consolas"/>
        <family val="3"/>
        <charset val="204"/>
      </rPr>
      <t xml:space="preserve">конструкциям
</t>
    </r>
    <r>
      <rPr>
        <sz val="10"/>
        <color theme="1"/>
        <rFont val="Consolas"/>
        <family val="3"/>
        <charset val="204"/>
      </rPr>
      <t>- прокладка и монтаж кабеля по стене,потолку (в т.ч. по фасаду)/трубе/коробу/кабельному каналу/гофре от установленных ЯР/ШАН/КРТ
- размещение с креплением открытым способом на потолке подразумевает использование обязательных крпеёжных элементов - пластиковых монтажных площадок 
- включает маркировку имиджевыми идентификационными наклейками
- включает стоимость коннектора/розетки RJ,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r>
      <rPr>
        <b/>
        <sz val="10"/>
        <color theme="1"/>
        <rFont val="Consolas"/>
        <family val="3"/>
        <charset val="204"/>
      </rPr>
      <t xml:space="preserve">
</t>
    </r>
  </si>
  <si>
    <r>
      <t>Расценка на АЛ из UTP</t>
    </r>
    <r>
      <rPr>
        <b/>
        <sz val="10"/>
        <color rgb="FFFF0000"/>
        <rFont val="Consolas"/>
        <family val="3"/>
        <charset val="204"/>
      </rPr>
      <t xml:space="preserve"> 4х2</t>
    </r>
    <r>
      <rPr>
        <b/>
        <sz val="10"/>
        <color theme="1"/>
        <rFont val="Consolas"/>
        <family val="3"/>
        <charset val="204"/>
      </rPr>
      <t xml:space="preserve"> </t>
    </r>
    <r>
      <rPr>
        <b/>
        <sz val="10"/>
        <color rgb="FF0000FF"/>
        <rFont val="Consolas"/>
        <family val="3"/>
        <charset val="204"/>
      </rPr>
      <t>по  конструкциям с их установкой</t>
    </r>
    <r>
      <rPr>
        <b/>
        <sz val="10"/>
        <color theme="1"/>
        <rFont val="Consolas"/>
        <family val="3"/>
        <charset val="204"/>
      </rPr>
      <t xml:space="preserve">
</t>
    </r>
    <r>
      <rPr>
        <sz val="10"/>
        <color theme="1"/>
        <rFont val="Consolas"/>
        <family val="3"/>
        <charset val="204"/>
      </rPr>
      <t xml:space="preserve">
- прокладка и монтаж кабеля в конструкциях:трубе/коробу/кабельному каналу/гофре с их установкой, от установленных ЯР/ШАН/КРТ
- включает маркировку имиджевыми идентификационными наклейками
- включает стоимость коннектора/розетки RJ,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</si>
  <si>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Расценка на АЛ из </t>
    </r>
    <r>
      <rPr>
        <b/>
        <sz val="10"/>
        <color rgb="FF0000FF"/>
        <rFont val="Consolas"/>
        <family val="3"/>
        <charset val="204"/>
      </rPr>
      <t xml:space="preserve">ОВП-2Д </t>
    </r>
    <r>
      <rPr>
        <b/>
        <sz val="10"/>
        <color theme="1"/>
        <rFont val="Consolas"/>
        <family val="3"/>
        <charset val="204"/>
      </rPr>
      <t xml:space="preserve">(рекомендуемый тип кабеля) </t>
    </r>
    <r>
      <rPr>
        <b/>
        <sz val="10"/>
        <color rgb="FF0000FF"/>
        <rFont val="Consolas"/>
        <family val="3"/>
        <charset val="204"/>
      </rPr>
      <t>открытым способом/по существующим конструкциям</t>
    </r>
    <r>
      <rPr>
        <b/>
        <sz val="10"/>
        <color theme="1"/>
        <rFont val="Consolas"/>
        <family val="3"/>
        <charset val="204"/>
      </rPr>
      <t xml:space="preserve">
</t>
    </r>
    <r>
      <rPr>
        <sz val="10"/>
        <color theme="1"/>
        <rFont val="Consolas"/>
        <family val="3"/>
        <charset val="204"/>
      </rPr>
      <t xml:space="preserve">-включает абонентский 2-х волоконный кабель.
-прокладка и монтаж кабеля по стене,потолку (в т.ч. по фасаду)/трубе/коробу/кабельному каналу/гофре от установленных ОРК
- размещение с креплением открытым спосбом на потолке подразумевает использование обязательных крпеёжных элементов - пластиковых монтажных площадок 
- включает маркировку имиджевыми идентификационными наклейками
- включает стоимость коннектора (любой разъём,любая полировка)/розетки ОРА, прочих материалов
- для решений с установкой ОРА в дх включает обязательную сварную концевую заделку АЛ (сварка кабеля АЛ и пигтейлов SC/APC для включения в адаптеры УСМ и ОРА. </t>
    </r>
    <r>
      <rPr>
        <b/>
        <sz val="10"/>
        <color rgb="FF0000FF"/>
        <rFont val="Consolas"/>
        <family val="3"/>
        <charset val="204"/>
      </rPr>
      <t xml:space="preserve">Применение механических способов сращивания волокна АЛ и пигтейлов (механический сплайс, коннекторы быстрого монтажа) не допускается </t>
    </r>
    <r>
      <rPr>
        <sz val="10"/>
        <color theme="1"/>
        <rFont val="Consolas"/>
        <family val="3"/>
        <charset val="204"/>
      </rPr>
      <t xml:space="preserve">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sz val="10"/>
        <color rgb="FFFF0000"/>
        <rFont val="Consolas"/>
        <family val="3"/>
        <charset val="204"/>
      </rPr>
      <t>Использование несогласованных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</si>
  <si>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Устройство оптической абонентской линии </t>
    </r>
    <r>
      <rPr>
        <b/>
        <sz val="10"/>
        <color rgb="FFFF0000"/>
        <rFont val="Consolas"/>
        <family val="3"/>
        <charset val="204"/>
      </rPr>
      <t>GPON/P2P</t>
    </r>
    <r>
      <rPr>
        <sz val="10"/>
        <color theme="1"/>
        <rFont val="Consolas"/>
        <family val="3"/>
        <charset val="204"/>
      </rPr>
      <t xml:space="preserve"> в Домохозяйство (ДХ) </t>
    </r>
    <r>
      <rPr>
        <b/>
        <sz val="10"/>
        <color rgb="FF0000FF"/>
        <rFont val="Consolas"/>
        <family val="3"/>
        <charset val="204"/>
      </rPr>
      <t>с установкой конструкций (трубы/короба/кабель-канала)</t>
    </r>
    <r>
      <rPr>
        <sz val="10"/>
        <color theme="1"/>
        <rFont val="Consolas"/>
        <family val="3"/>
        <charset val="204"/>
      </rPr>
      <t>, с выводом на абонентскую оптическую розетку  или на абонентскую коробку не оборудованную розеткой 220 В, включая запас 5 м в ДХ.</t>
    </r>
  </si>
  <si>
    <r>
      <t xml:space="preserve">Устройство абонентской линии в Домохозяйство (ДХ) кабелем типа UTP/FTP Cat 5е </t>
    </r>
    <r>
      <rPr>
        <b/>
        <sz val="10"/>
        <color rgb="FFFF0000"/>
        <rFont val="Consolas"/>
        <family val="3"/>
        <charset val="204"/>
      </rPr>
      <t>(св. 4 до 8 пар)</t>
    </r>
    <r>
      <rPr>
        <sz val="10"/>
        <color theme="1"/>
        <rFont val="Consolas"/>
        <family val="3"/>
        <charset val="204"/>
      </rPr>
      <t xml:space="preserve"> открытым способом/ </t>
    </r>
    <r>
      <rPr>
        <b/>
        <sz val="10"/>
        <color rgb="FF0000FF"/>
        <rFont val="Consolas"/>
        <family val="3"/>
        <charset val="204"/>
      </rPr>
      <t>по существующим, установленным конструкциям (трубе/коробу/кабель-каналу</t>
    </r>
    <r>
      <rPr>
        <sz val="10"/>
        <color theme="1"/>
        <rFont val="Consolas"/>
        <family val="3"/>
        <charset val="204"/>
      </rPr>
      <t>), с выводом на абонентскую розетку типа RJ  или на абонентскую коробку не оборудованную розеткой 220 В, включая запас 5 м в ДХ.</t>
    </r>
  </si>
  <si>
    <r>
      <t xml:space="preserve">Устройство абонентской линии в Домохозяйство (ДХ) кабелем типа UTP/FTP Cat 5е </t>
    </r>
    <r>
      <rPr>
        <b/>
        <sz val="10"/>
        <color rgb="FFFF0000"/>
        <rFont val="Consolas"/>
        <family val="3"/>
        <charset val="204"/>
      </rPr>
      <t>(св. 4 до 8 пар)</t>
    </r>
    <r>
      <rPr>
        <b/>
        <sz val="10"/>
        <color rgb="FF0000FF"/>
        <rFont val="Consolas"/>
        <family val="3"/>
        <charset val="204"/>
      </rPr>
      <t xml:space="preserve"> с установкой конструкций (трубы/короба/кабель-канала)</t>
    </r>
    <r>
      <rPr>
        <sz val="10"/>
        <color theme="1"/>
        <rFont val="Consolas"/>
        <family val="3"/>
        <charset val="204"/>
      </rPr>
      <t>, с выводом на абонентскую розетку типа RJ  или на абонентскую коробку не оборудованную розеткой 220 В, включая запас 5 м в ДХ.</t>
    </r>
  </si>
  <si>
    <r>
      <t xml:space="preserve">Устройство абонентской линии в Домохозяйство (ДХ) кабелем типа UTP/FTP Cat 5е </t>
    </r>
    <r>
      <rPr>
        <b/>
        <sz val="10"/>
        <color rgb="FFFF0000"/>
        <rFont val="Consolas"/>
        <family val="3"/>
        <charset val="204"/>
      </rPr>
      <t>(св. 4 до 8 пар)</t>
    </r>
    <r>
      <rPr>
        <sz val="10"/>
        <color theme="1"/>
        <rFont val="Consolas"/>
        <family val="3"/>
        <charset val="204"/>
      </rPr>
      <t xml:space="preserve"> </t>
    </r>
    <r>
      <rPr>
        <b/>
        <sz val="10"/>
        <color rgb="FF0000FF"/>
        <rFont val="Consolas"/>
        <family val="3"/>
        <charset val="204"/>
      </rPr>
      <t>открытым способом/</t>
    </r>
    <r>
      <rPr>
        <sz val="10"/>
        <color theme="1"/>
        <rFont val="Consolas"/>
        <family val="3"/>
        <charset val="204"/>
      </rPr>
      <t xml:space="preserve"> </t>
    </r>
    <r>
      <rPr>
        <b/>
        <sz val="10"/>
        <color rgb="FF0000FF"/>
        <rFont val="Consolas"/>
        <family val="3"/>
        <charset val="204"/>
      </rPr>
      <t>по существующим, установленным конструкциям (трубе/коробу/кабель-каналу)</t>
    </r>
    <r>
      <rPr>
        <sz val="10"/>
        <color theme="1"/>
        <rFont val="Consolas"/>
        <family val="3"/>
        <charset val="204"/>
      </rPr>
      <t>, с выводом на абонентскую розетку типа RJ  или на абонентскую коробку не оборудованную розеткой 220 В, включая запас 5 м в ДХ.</t>
    </r>
  </si>
  <si>
    <r>
      <t xml:space="preserve">Расценка на АЛ из ОВП-2Д (рекомендуемаый тип кабеля) по  конструкциям с их установкой
</t>
    </r>
    <r>
      <rPr>
        <sz val="10"/>
        <color theme="1"/>
        <rFont val="Consolas"/>
        <family val="3"/>
        <charset val="204"/>
      </rPr>
      <t xml:space="preserve">-включает абонентский 2-х волоконный кабель.
-прокладка и монтаж кабеля в конструкциях:трубе/коробу/кабельному каналу/гофре с их установкой, от установленных ОРК
- включает маркировку имиджевыми идентификационными наклейками
- включает стоимость коннектора (любой разъём,любая полировка)/розетки ОРА, прочих материалов
- для решений с установкой ОРА в дх включает обязательную сварную концевую заделку АЛ (сварка кабеля АЛ и пигтейлов SC/APC для включения в адаптеры УСМ и ОРА. </t>
    </r>
    <r>
      <rPr>
        <b/>
        <sz val="10"/>
        <color rgb="FF0000FF"/>
        <rFont val="Consolas"/>
        <family val="3"/>
        <charset val="204"/>
      </rPr>
      <t xml:space="preserve">Применение механических способов сращивания волокна АЛ и пигтейлов (механический сплайс, коннекторы быстрого монтажа) не допускается </t>
    </r>
    <r>
      <rPr>
        <sz val="10"/>
        <color theme="1"/>
        <rFont val="Consolas"/>
        <family val="3"/>
        <charset val="204"/>
      </rPr>
      <t xml:space="preserve">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</si>
  <si>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Расценка на АЛ из UTP </t>
    </r>
    <r>
      <rPr>
        <b/>
        <sz val="10"/>
        <color rgb="FFFF0000"/>
        <rFont val="Consolas"/>
        <family val="3"/>
        <charset val="204"/>
      </rPr>
      <t>8х2</t>
    </r>
    <r>
      <rPr>
        <b/>
        <sz val="10"/>
        <color theme="1"/>
        <rFont val="Consolas"/>
        <family val="3"/>
        <charset val="204"/>
      </rPr>
      <t xml:space="preserve"> </t>
    </r>
    <r>
      <rPr>
        <b/>
        <sz val="10"/>
        <color rgb="FF0000FF"/>
        <rFont val="Consolas"/>
        <family val="3"/>
        <charset val="204"/>
      </rPr>
      <t>открытым способом/по существующим конструкциям</t>
    </r>
    <r>
      <rPr>
        <b/>
        <sz val="10"/>
        <color theme="1"/>
        <rFont val="Consolas"/>
        <family val="3"/>
        <charset val="204"/>
      </rPr>
      <t xml:space="preserve">
</t>
    </r>
    <r>
      <rPr>
        <sz val="10"/>
        <color theme="1"/>
        <rFont val="Consolas"/>
        <family val="3"/>
        <charset val="204"/>
      </rPr>
      <t xml:space="preserve">
- прокладка и монтаж кабеля по стене,потолку (в т.ч. по фасаду)/трубе/коробу/кабельному каналу/гофре от установленных ЯР/ШАН/КРТ
- размещение с креплением открытым способом на потолке подразумевает использование обязательных крпеёжных элементов - пластиковых монтажных площадок 
- включает маркировку имиджевыми идентификационными наклейками
- включает стоимость коннектора/розетки RJ,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</si>
  <si>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Расценка на АЛ из UTP </t>
    </r>
    <r>
      <rPr>
        <b/>
        <sz val="10"/>
        <color rgb="FFFF0000"/>
        <rFont val="Consolas"/>
        <family val="3"/>
        <charset val="204"/>
      </rPr>
      <t>8х2</t>
    </r>
    <r>
      <rPr>
        <b/>
        <sz val="10"/>
        <color theme="1"/>
        <rFont val="Consolas"/>
        <family val="3"/>
        <charset val="204"/>
      </rPr>
      <t xml:space="preserve"> </t>
    </r>
    <r>
      <rPr>
        <b/>
        <sz val="10"/>
        <color rgb="FF0000FF"/>
        <rFont val="Consolas"/>
        <family val="3"/>
        <charset val="204"/>
      </rPr>
      <t>по  конструкциям с их установкой</t>
    </r>
    <r>
      <rPr>
        <b/>
        <sz val="10"/>
        <color theme="1"/>
        <rFont val="Consolas"/>
        <family val="3"/>
        <charset val="204"/>
      </rPr>
      <t xml:space="preserve">
</t>
    </r>
    <r>
      <rPr>
        <sz val="10"/>
        <color theme="1"/>
        <rFont val="Consolas"/>
        <family val="3"/>
        <charset val="204"/>
      </rPr>
      <t>- прокладка и монтаж кабеля в конструкциях:трубе/коробу/кабельному каналу/гофре с их установкой, от установленных ЯР/ШАН/КРТ
- включает маркировку имиджевыми идентификационными наклейками
- включает стоимость коннектора/розетки RJ,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t>
    </r>
  </si>
  <si>
    <r>
      <t xml:space="preserve">Расценка на АЛ из RG-59/6 (или аналог) открытым способом/по существующим конструкциям для АГС КТВ ,в/наблюдения в квартиру
</t>
    </r>
    <r>
      <rPr>
        <sz val="10"/>
        <color theme="1"/>
        <rFont val="Consolas"/>
        <family val="3"/>
        <charset val="204"/>
      </rPr>
      <t xml:space="preserve">
-прокладка и монтаж кабеля по стене,потолку (в т.ч. по фасаду)/трубе/коробу/кабельному каналу/гофре от установленных оконечных устройств
- размещение с креплением открытым способом на потолке подразумевает использование обязательных крепёжных элементов - пластиковых монтажных площадок 
- включает маркировку имиджевыми идентификационными наклейками
- включает стоимость коннектора F,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т.п,за исключеним услуг видеонаблюдения для физ.лиц (в квартиры)</t>
    </r>
  </si>
  <si>
    <r>
      <t xml:space="preserve">Расценка на АЛ из RG-59/6 (или аналог) с установкой конструкций (трубы/короба/кабель-канала) для АГС КТВ ,в/наблюдения в квартиру
</t>
    </r>
    <r>
      <rPr>
        <sz val="10"/>
        <color theme="1"/>
        <rFont val="Consolas"/>
        <family val="3"/>
        <charset val="204"/>
      </rPr>
      <t>-прокладка и монтаж кабеля по стене,потолку (в т.ч. по фасаду)/трубе/коробу/кабельному каналу/гофре от установленных оконечных устройств
- размещение с креплением открытым способом на потолке подразумевает использование обязательных крепёжных элементов - пластиковых монтажных площадок 
- включает маркировку имиджевыми идентификационными наклейками
- включает стоимость коннектора F, прочих материалов
- оформление исполнительной документации по МР
- указанная абонентская коробка является комбинированным блоком розеток(например в различной комплектации-220 В,типа RJ-45/11,ОРА,РПВ,ТВ одиночные разъем F).Предоставляется Заказчиком в случае реализации решений, где установка таких коробок/блоков является условием со стороны Застройщика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коробок такого типа запрещено.</t>
    </r>
    <r>
      <rPr>
        <sz val="10"/>
        <color theme="1"/>
        <rFont val="Consolas"/>
        <family val="3"/>
        <charset val="204"/>
      </rPr>
      <t xml:space="preserve">
</t>
    </r>
    <r>
      <rPr>
        <b/>
        <sz val="10"/>
        <color rgb="FF0000FF"/>
        <rFont val="Consolas"/>
        <family val="3"/>
        <charset val="204"/>
      </rPr>
      <t>- Не применяется на объектах В2С при организации линий для подключения оборудования домофонии / СКУД / видеонаблюдения / телеметрии и т.п,за исключеним услуг видеонаблюдения для физ.лиц (в квартиры)</t>
    </r>
  </si>
  <si>
    <r>
      <t xml:space="preserve">Расценки для организации абонентских линий до клиента с 6.46 по 6.53
</t>
    </r>
    <r>
      <rPr>
        <b/>
        <sz val="10"/>
        <color rgb="FF0000FF"/>
        <rFont val="Consolas"/>
        <family val="3"/>
        <charset val="204"/>
      </rPr>
      <t xml:space="preserve">- Не применяются для объектов В2С при организации абонентских линий до квартир/дх абонентов
</t>
    </r>
    <r>
      <rPr>
        <sz val="10"/>
        <color theme="1" tint="4.9989318521683403E-2"/>
        <rFont val="Consolas"/>
        <family val="3"/>
        <charset val="204"/>
      </rPr>
      <t>- основная сфера применения-объекты В2В/В2G</t>
    </r>
    <r>
      <rPr>
        <sz val="10"/>
        <color theme="1"/>
        <rFont val="Consolas"/>
        <family val="3"/>
        <charset val="204"/>
      </rPr>
      <t xml:space="preserve">
- может применяться на объектах В2С только при организации линий для подключения оборудования домофонии /СКУД/видеонаблюдения/телеметрии и т.п.
-включает установку в дх или офисе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Застройщиком/Клиентом и Заказчиком.</t>
    </r>
    <r>
      <rPr>
        <b/>
        <sz val="10"/>
        <color rgb="FFFF0000"/>
        <rFont val="Consolas"/>
        <family val="3"/>
        <charset val="204"/>
      </rPr>
      <t>Использование несогласованных с Застройщиком коробок такого типа запрещено.</t>
    </r>
    <r>
      <rPr>
        <sz val="10"/>
        <color theme="1"/>
        <rFont val="Consolas"/>
        <family val="3"/>
        <charset val="204"/>
      </rPr>
      <t xml:space="preserve">
- полные составы работ см. комментарии к расценкам 6.38-6.43 (по соотвествующим типам АЛ,способу прокладки)
</t>
    </r>
  </si>
  <si>
    <r>
      <t xml:space="preserve">Расценка на прокладку кабеля в лифтовой шахте
</t>
    </r>
    <r>
      <rPr>
        <sz val="10"/>
        <color theme="1"/>
        <rFont val="Consolas"/>
        <family val="3"/>
        <charset val="204"/>
      </rPr>
      <t xml:space="preserve">
-применяется для прокладки кабеля определённой конструкции для подключения оборудования и устройств в лифтовых шахтах
- включает маркировку имиджевыми идентификационными наклейками
- включает оформление исполнительной документации по МР</t>
    </r>
  </si>
  <si>
    <r>
      <t>ПИР, СМР, Прочие затраты, не ограничиваясь перечисленным: прокладка и монтаж кабеля методом ВП с учетом разделок, оконцовки с устройством, при необходимости, отверстий в конструкциях  с заделкой (с установкой гильз),</t>
    </r>
    <r>
      <rPr>
        <b/>
        <sz val="10"/>
        <color rgb="FF0000FF"/>
        <rFont val="Consolas"/>
        <family val="3"/>
        <charset val="204"/>
      </rPr>
      <t xml:space="preserve"> с учетом стоимости  кабеля,  коннектора, прочих материалов. </t>
    </r>
    <r>
      <rPr>
        <sz val="10"/>
        <rFont val="Consolas"/>
        <family val="3"/>
        <charset val="204"/>
      </rPr>
      <t xml:space="preserve">  Оформление исполнительной документации.</t>
    </r>
  </si>
  <si>
    <r>
      <t xml:space="preserve">Расценка на ВКЛС абонентского кабеля UTP </t>
    </r>
    <r>
      <rPr>
        <b/>
        <sz val="10"/>
        <color rgb="FFFF0000"/>
        <rFont val="Consolas"/>
        <family val="3"/>
        <charset val="204"/>
      </rPr>
      <t>до 8х2</t>
    </r>
    <r>
      <rPr>
        <b/>
        <sz val="10"/>
        <color theme="1"/>
        <rFont val="Consolas"/>
        <family val="3"/>
        <charset val="204"/>
      </rPr>
      <t xml:space="preserve">
</t>
    </r>
    <r>
      <rPr>
        <sz val="10"/>
        <color theme="1"/>
        <rFont val="Consolas"/>
        <family val="3"/>
        <charset val="204"/>
      </rPr>
      <t xml:space="preserve">
- применяется для прокладки кабеля для подключения оборудования и устройств,подключения клиентов В2В,В2О,В2G (за исключением абонетских,расположенных в квартире/дх)
- включает установку в дх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Заказчиком.И</t>
    </r>
    <r>
      <rPr>
        <b/>
        <sz val="10"/>
        <color rgb="FFFF0000"/>
        <rFont val="Consolas"/>
        <family val="3"/>
        <charset val="204"/>
      </rPr>
      <t>спользование несогласованных с Застройщиком/Клиентом коробок такого типа запрещено.</t>
    </r>
    <r>
      <rPr>
        <sz val="10"/>
        <color theme="1"/>
        <rFont val="Consolas"/>
        <family val="3"/>
        <charset val="204"/>
      </rPr>
      <t xml:space="preserve">
- включает оформление исполнительной документации по МР</t>
    </r>
  </si>
  <si>
    <r>
      <t xml:space="preserve">Устройство оптической линии/прокладка оптического патчкорда (duplex/simpex, любой разъем, любая полировка) </t>
    </r>
    <r>
      <rPr>
        <b/>
        <sz val="10"/>
        <color rgb="FF0000FF"/>
        <rFont val="Consolas"/>
        <family val="3"/>
        <charset val="204"/>
      </rPr>
      <t>внутри здания по стенам/ существующим установленным конструкциям (трубам/коробам/кабель-каналам)</t>
    </r>
  </si>
  <si>
    <r>
      <t xml:space="preserve">Расценка на прокладку абонентского кабеля ВОК </t>
    </r>
    <r>
      <rPr>
        <b/>
        <sz val="10"/>
        <color rgb="FFFF0000"/>
        <rFont val="Consolas"/>
        <family val="3"/>
        <charset val="204"/>
      </rPr>
      <t>2-4 ОВ</t>
    </r>
    <r>
      <rPr>
        <b/>
        <sz val="10"/>
        <rFont val="Consolas"/>
        <family val="3"/>
        <charset val="204"/>
      </rPr>
      <t xml:space="preserve"> в пределах одного здания по сущ. инфраструктуре /конструкциям или открытым способом
</t>
    </r>
    <r>
      <rPr>
        <sz val="10"/>
        <rFont val="Consolas"/>
        <family val="3"/>
        <charset val="204"/>
      </rPr>
      <t xml:space="preserve">
- применяется для прокладки кабеля для подключения оборудования и устройств,подключения клиентов В2В,В2О,В2G (за исключением абонентских,расположенных в квартире/дх)
</t>
    </r>
    <r>
      <rPr>
        <b/>
        <sz val="10"/>
        <color rgb="FF0000FF"/>
        <rFont val="Consolas"/>
        <family val="3"/>
        <charset val="204"/>
      </rPr>
      <t>- не применяется при организации нового/дополнительного УД в этом же здании</t>
    </r>
    <r>
      <rPr>
        <sz val="10"/>
        <rFont val="Consolas"/>
        <family val="3"/>
        <charset val="204"/>
      </rPr>
      <t xml:space="preserve">
- включает оформление исполнительной документации по МР</t>
    </r>
  </si>
  <si>
    <r>
      <t xml:space="preserve">Устройство оптической линии/прокладка оптического патчкорда (duplex/simpex, любой разъем, любая полировка) </t>
    </r>
    <r>
      <rPr>
        <b/>
        <sz val="10"/>
        <color rgb="FF0000FF"/>
        <rFont val="Consolas"/>
        <family val="3"/>
        <charset val="204"/>
      </rPr>
      <t>внутри здания с установкой конструкций (труб/коробов/кабель-каналов)</t>
    </r>
  </si>
  <si>
    <r>
      <t xml:space="preserve">Расценка на прокладку абонентского кабеля ВОК </t>
    </r>
    <r>
      <rPr>
        <b/>
        <sz val="10"/>
        <color rgb="FFFF0000"/>
        <rFont val="Consolas"/>
        <family val="3"/>
        <charset val="204"/>
      </rPr>
      <t>2-4 ОВ</t>
    </r>
    <r>
      <rPr>
        <b/>
        <sz val="10"/>
        <rFont val="Consolas"/>
        <family val="3"/>
        <charset val="204"/>
      </rPr>
      <t xml:space="preserve"> в пределах одного здания с установкой конструкций
</t>
    </r>
    <r>
      <rPr>
        <sz val="10"/>
        <rFont val="Consolas"/>
        <family val="3"/>
        <charset val="204"/>
      </rPr>
      <t xml:space="preserve">- применяется для прокладки кабеля для подключения оборудования и устройств,подключения клиентов В2В,В2О,В2G (за исключением абонентских,расположенных в квартире/дх)
</t>
    </r>
    <r>
      <rPr>
        <b/>
        <sz val="10"/>
        <color rgb="FF0000FF"/>
        <rFont val="Consolas"/>
        <family val="3"/>
        <charset val="204"/>
      </rPr>
      <t>- не применяется при организации нового/дополнительного УД в этом же здании</t>
    </r>
    <r>
      <rPr>
        <sz val="10"/>
        <rFont val="Consolas"/>
        <family val="3"/>
        <charset val="204"/>
      </rPr>
      <t xml:space="preserve">
- включает все сопуствующие внутриобъектовые работы, включая восстановление поверхностей и их отделки
- включает концевую заделку кабеля с обеих сторон (коннекторами,ОРА)
- включает оформление исполнительной документации по МР</t>
    </r>
  </si>
  <si>
    <r>
      <t xml:space="preserve">Расценка на строительство сетей на коаксиальных кабелях, в т.ч. и КТВ в отдельных случаях , по существующим конструкциям; с установкой конструкций
</t>
    </r>
    <r>
      <rPr>
        <sz val="10"/>
        <rFont val="Consolas"/>
        <family val="3"/>
        <charset val="204"/>
      </rPr>
      <t xml:space="preserve">- включает прокладку линии КТВ (ДРС КТВ) с прокладкой RG для </t>
    </r>
    <r>
      <rPr>
        <b/>
        <sz val="10"/>
        <color rgb="FF0000FF"/>
        <rFont val="Consolas"/>
        <family val="3"/>
        <charset val="204"/>
      </rPr>
      <t>нетипового</t>
    </r>
    <r>
      <rPr>
        <sz val="10"/>
        <rFont val="Consolas"/>
        <family val="3"/>
        <charset val="204"/>
      </rPr>
      <t xml:space="preserve"> подключения клиента/абонента
</t>
    </r>
    <r>
      <rPr>
        <b/>
        <sz val="10"/>
        <color rgb="FF0000FF"/>
        <rFont val="Consolas"/>
        <family val="3"/>
        <charset val="204"/>
      </rPr>
      <t>- не применяется для организации абонентской линии кабелем RG-6 в дх абонента-физ.лица (строительство АГС)-см. расценки 6.44,6.45</t>
    </r>
    <r>
      <rPr>
        <sz val="10"/>
        <rFont val="Consolas"/>
        <family val="3"/>
        <charset val="204"/>
      </rPr>
      <t xml:space="preserve">
- включает прокладку коаксиального кабеля под отдельные тех. решения , в т.ч. и ЛВС по отдельному заказу 
- включает монтаж АК, делителей, ответвителей, нагрузок, шнуров (при необходимости)
- включает концевую заделку кабелей с установкой соотвествующих розеток типа F или установкой  вместо розеток монтажных /распаечных коробок для размещения неоконеченного запаса АЛ внутри по решению Заказчика .Тип таких коробок,способ монтажа (внутренние,внешние) согласовать с Застройщиком и Заказчиком.</t>
    </r>
    <r>
      <rPr>
        <b/>
        <sz val="10"/>
        <color rgb="FFFF0000"/>
        <rFont val="Consolas"/>
        <family val="3"/>
        <charset val="204"/>
      </rPr>
      <t>Использование несогласованных с Застройщиком/Клиентом коробок такого типа запрещено.</t>
    </r>
    <r>
      <rPr>
        <sz val="10"/>
        <rFont val="Consolas"/>
        <family val="3"/>
        <charset val="204"/>
      </rPr>
      <t xml:space="preserve">
- включает монтаж активного оборудования (оптические приемники), прочие затраты;
- включает оформление разрешительных документов (включая все согласования) необходимых при строительстве ДРС КТВ, ЛВС и др. коаксиальных сетей
- включает оформление исполнительной документации по МР
</t>
    </r>
    <r>
      <rPr>
        <b/>
        <sz val="10"/>
        <color rgb="FF0000FF"/>
        <rFont val="Consolas"/>
        <family val="3"/>
        <charset val="204"/>
      </rPr>
      <t>- не включает  стоимость оптического приемника КТВ и другого активного оборудования
- не применяется совместно с расценкой 6.7</t>
    </r>
  </si>
  <si>
    <t>Расценки для организации комплексных услуг ("умный дом") в рамках проекта "ключ" и др.</t>
  </si>
  <si>
    <t>для справки:(ЗУ)- запирающее устройство</t>
  </si>
  <si>
    <r>
      <t xml:space="preserve">Расценка на монтаж и подключение вызывной панели домофона </t>
    </r>
    <r>
      <rPr>
        <b/>
        <sz val="10"/>
        <color rgb="FF0000FF"/>
        <rFont val="Consolas"/>
        <family val="3"/>
        <charset val="204"/>
      </rPr>
      <t>в случае замены существующей панели, в т.ч. и другой конструкции (при восстановлении ,модернизации,переустройстве и пр.)</t>
    </r>
    <r>
      <rPr>
        <b/>
        <sz val="10"/>
        <color theme="1"/>
        <rFont val="Consolas"/>
        <family val="3"/>
        <charset val="204"/>
      </rPr>
      <t xml:space="preserve">
</t>
    </r>
    <r>
      <rPr>
        <sz val="10"/>
        <color theme="1"/>
        <rFont val="Consolas"/>
        <family val="3"/>
        <charset val="204"/>
      </rPr>
      <t>- включает сдачу демонтированного оборудования Заказчику по акту ,с сохранением комплектации,крепежных элементов и оснастки
- включает восстановление отделки/покраски поверхностей после установки и конструктивной целостности входных групп и стен после переустройства посадочного места под вновь устанавливаемую панель
- включает  маркировка имиджевыми идентификационными наклейками. Оформление разрешительных документов
- включает оформление исполнительной документации по МР</t>
    </r>
  </si>
  <si>
    <r>
      <t xml:space="preserve">Расценка на монтаж и подключение БП (блока питания) для панели домофона, электрозамка и пр.
</t>
    </r>
    <r>
      <rPr>
        <sz val="10"/>
        <color theme="1"/>
        <rFont val="Consolas"/>
        <family val="3"/>
        <charset val="204"/>
      </rPr>
      <t xml:space="preserve">- включает все работы по установке,креплению и подключению БП. При этом БП не должен допускать открытый доступ к нему  третьих лиц
- включает восстановление отделки/покраски поверхностей после установки
- подключение эл. питания к БП (220 В) допускается только от ВРУ УД Заказчика  или ВРУ дома по отдельному кабелю эл. питания.
</t>
    </r>
    <r>
      <rPr>
        <b/>
        <sz val="10"/>
        <color rgb="FF0000FF"/>
        <rFont val="Consolas"/>
        <family val="3"/>
        <charset val="204"/>
      </rPr>
      <t>- не допускается подключение к другим источникам 220 В,находящимся в открытом доступе 
- не допускается последовательное подключение к БП 2-х и более вызывных панелей и/или замков
- не допускается подключение к одному БП более одной вызывной панели</t>
    </r>
  </si>
  <si>
    <r>
      <t xml:space="preserve">Расценка на монтаж и подключение контроллера (в том числе и сетевого), устройства подключения/коммутации домофона к ОПС/АПС (например УК-ВК и т.д.)
</t>
    </r>
    <r>
      <rPr>
        <sz val="10"/>
        <color theme="1"/>
        <rFont val="Consolas"/>
        <family val="3"/>
        <charset val="204"/>
      </rPr>
      <t>- включает все работы по установке,креплению и подключению контроллера или устройства коммутации
- включает восстановление отделки/покраски поверхностей после установки
- включает стоимость прокладки UTP от контроллера/устройства коммутации до точки включения в домофонную сеть
- включает стоимость прокладки кабеля питания (ПВС или ВВг) при необходимости
- включает оформление исполнительной документации по МР</t>
    </r>
    <r>
      <rPr>
        <b/>
        <sz val="10"/>
        <color theme="1"/>
        <rFont val="Consolas"/>
        <family val="3"/>
        <charset val="204"/>
      </rPr>
      <t xml:space="preserve">
</t>
    </r>
  </si>
  <si>
    <r>
      <t xml:space="preserve">Расценка на монтаж и подключение блока сопряжения
</t>
    </r>
    <r>
      <rPr>
        <sz val="10"/>
        <color theme="1"/>
        <rFont val="Consolas"/>
        <family val="3"/>
        <charset val="204"/>
      </rPr>
      <t>- включает все работы по установке,креплению и подключению блока сопряжения
- включает стоимость прокладки UTP от блока соппряжения до точки включения в домофонную сеть
- включает стоимость прокладки кабеля питания (ПВС или ВВг) при необходимости
- включает восстановление отделки/покраски поверхностей после установки
- включает оформление исполнительной документации по МР</t>
    </r>
  </si>
  <si>
    <r>
      <t xml:space="preserve">Расценка на монтаж и подключение вызывной панели домофона
</t>
    </r>
    <r>
      <rPr>
        <sz val="10"/>
        <color theme="1"/>
        <rFont val="Consolas"/>
        <family val="3"/>
        <charset val="204"/>
      </rPr>
      <t xml:space="preserve">- включает восстановление отделки/покраски поверхностей после установки
- включает  маркировка имиджевыми идентификационными наклейками. Оформление разрешительных документов
</t>
    </r>
    <r>
      <rPr>
        <b/>
        <sz val="10"/>
        <color rgb="FF0000FF"/>
        <rFont val="Consolas"/>
        <family val="3"/>
        <charset val="204"/>
      </rPr>
      <t>- не включает работы по установке электромагнитного замка-см. расценку 6.60.7</t>
    </r>
    <r>
      <rPr>
        <sz val="10"/>
        <color theme="1"/>
        <rFont val="Consolas"/>
        <family val="3"/>
        <charset val="204"/>
      </rPr>
      <t xml:space="preserve">
- включает оформление исполнительной документации по МР</t>
    </r>
  </si>
  <si>
    <r>
      <t xml:space="preserve">Расценка на монтаж и подключение кнопки выхода/считывателя
</t>
    </r>
    <r>
      <rPr>
        <sz val="10"/>
        <color theme="1"/>
        <rFont val="Consolas"/>
        <family val="3"/>
        <charset val="204"/>
      </rPr>
      <t xml:space="preserve">- применяется в случае установки кнопки выхода/считывателя на выход,не оснащаемый вызывной панелью
- включает все работы по установке,креплению и подключению считывателя/кнопки выхода
- включает восстановление отделки/покраски поверхностей после установки
- включает оформление исполнительной документации по МР
</t>
    </r>
    <r>
      <rPr>
        <b/>
        <sz val="10"/>
        <color rgb="FF0000FF"/>
        <rFont val="Consolas"/>
        <family val="3"/>
        <charset val="204"/>
      </rPr>
      <t>- не применяется совместно с расценкой 6.60.7
- не применяется совместно с расценкой 6.60.1 на одной входной группе</t>
    </r>
  </si>
  <si>
    <r>
      <t xml:space="preserve">Расценка на монтаж и подключение электромагнитного замка с кнопкой выхода
</t>
    </r>
    <r>
      <rPr>
        <sz val="10"/>
        <color theme="1"/>
        <rFont val="Consolas"/>
        <family val="3"/>
        <charset val="204"/>
      </rPr>
      <t xml:space="preserve">- включает все работы по установке,креплению и подключению электрозамка и кнопки выхода
- включает восстановление отделки/покраски поверхностей после установки
- включает стоимость прокладки кабелей (UTP и кабелей эл. питания при необходимости)
- включает оформление исполнительной документации по МР
- </t>
    </r>
    <r>
      <rPr>
        <b/>
        <sz val="10"/>
        <color rgb="FF0000FF"/>
        <rFont val="Consolas"/>
        <family val="3"/>
        <charset val="204"/>
      </rPr>
      <t>не применяется совместно с расценкой 6.60.6</t>
    </r>
  </si>
  <si>
    <r>
      <t xml:space="preserve">Расценка на монтаж доводчика двери
</t>
    </r>
    <r>
      <rPr>
        <sz val="10"/>
        <color theme="1"/>
        <rFont val="Consolas"/>
        <family val="3"/>
        <charset val="204"/>
      </rPr>
      <t xml:space="preserve">
- включает все работы по установке,креплению доводчика двери
- включает восстановление отделки/покраски поверхностей после установки
- обязательное отдельное согласование доводчика с Заказчиком на стадии ПИР с предоставлением  образцов 
- включает оформление исполнительной документации по МР</t>
    </r>
  </si>
  <si>
    <r>
      <t xml:space="preserve">Расценка на ПНР на одну вызывную панель домофона
</t>
    </r>
    <r>
      <rPr>
        <sz val="10"/>
        <color theme="1"/>
        <rFont val="Consolas"/>
        <family val="3"/>
        <charset val="204"/>
      </rPr>
      <t>- включает работы по настройке сетевых параметров оборудования Закзчика
- включает все работы по пуско-наладке установленной домофонной панели,включая подключенные к ней считывателей,кнопок,контроллеров,блоков сопряжения,коммутационных устройств и пр.
- включает работы (ПНР) по коммутации домофоной панели/замка с охранной и/или пожарной сигнализацией на Объекте , в т.ч. и построенной сторонними организациями
- включает работы по демонстрации работы по указанию Заказчика, в т.ч. и заинтересованным сторонам (Застройщик,УК,ТСЖ и т.д.)</t>
    </r>
    <r>
      <rPr>
        <b/>
        <sz val="10"/>
        <color theme="1"/>
        <rFont val="Consolas"/>
        <family val="3"/>
        <charset val="204"/>
      </rPr>
      <t xml:space="preserve">
</t>
    </r>
  </si>
  <si>
    <r>
      <t xml:space="preserve">Расценка на программирование ключей/меток NFС
</t>
    </r>
    <r>
      <rPr>
        <sz val="10"/>
        <color theme="1"/>
        <rFont val="Consolas"/>
        <family val="3"/>
        <charset val="204"/>
      </rPr>
      <t xml:space="preserve">- включает все работы по программированию ключей или меток NFS (эмулированных и физических)
- эмулированные метки только для поддерживаемых устройств/смартфонов
- включает стоимость ключей и физических NFC меток </t>
    </r>
    <r>
      <rPr>
        <b/>
        <sz val="10"/>
        <color rgb="FF0000FF"/>
        <rFont val="Consolas"/>
        <family val="3"/>
        <charset val="204"/>
      </rPr>
      <t>для 6.61.1</t>
    </r>
    <r>
      <rPr>
        <sz val="10"/>
        <color theme="1"/>
        <rFont val="Consolas"/>
        <family val="3"/>
        <charset val="204"/>
      </rPr>
      <t xml:space="preserve"> (номенклатуру, тип/вид ключей/меток согласовать с Заказчиком заранее на этапе ПИР)</t>
    </r>
  </si>
  <si>
    <r>
      <t xml:space="preserve">Расценка на установку и настройку аудиотрубки в квартире
</t>
    </r>
    <r>
      <rPr>
        <sz val="10"/>
        <color theme="1"/>
        <rFont val="Consolas"/>
        <family val="3"/>
        <charset val="204"/>
      </rPr>
      <t xml:space="preserve">- включает стоимость аналоговых аудиотрубок (специализированных домофонных или телефонных), за исключением цифровых трубок (IP)
- включает все работы по установке,креплению и подключению аудиотубки и её креплений
- включает (при необходимости) устройство отверстий  в стенах (с установкой гильз) с заделкой, с учетом стоимости всех материалов.
- включает восстановление отделки/покраски поверхностей после установки (при необходимости)
</t>
    </r>
  </si>
  <si>
    <r>
      <t xml:space="preserve">СМР: Работы по подключению, переключению, настройке, замене  аудиотрубки, с учетом стоимости крепежных материалов. Не ограничиваясь перечисленным; определение полярности аб. устройства, перекоммутация в распределительном щитке в соответствии со схемой подключения, проверка работоспособности (качество сигнала, кнопки открытия).
</t>
    </r>
    <r>
      <rPr>
        <b/>
        <sz val="10"/>
        <color rgb="FF0000FF"/>
        <rFont val="Consolas"/>
        <family val="3"/>
        <charset val="204"/>
      </rPr>
      <t>Прокладка кабеля от распределительной коробки производится по расценкам: 6.67-6.69</t>
    </r>
  </si>
  <si>
    <r>
      <t xml:space="preserve">СМР: Работы по подключению, переключению, настройке, абонентской панели видеодомофона, с учетом стоимости крепежных материалов. Не ограничиваясь перечисленным; определение полярности аб. устройства, перекоммутация в распределительном щитке в соответствии со схемой подключения, проверка работоспособности (качество видеосигнала, кнопки открытия, при необходимости установка усилителя). </t>
    </r>
    <r>
      <rPr>
        <b/>
        <sz val="10"/>
        <color rgb="FF0000FF"/>
        <rFont val="Consolas"/>
        <family val="3"/>
        <charset val="204"/>
      </rPr>
      <t xml:space="preserve">Прокладка и монтаж кабелей типа UTP данной расценкой не учтены. </t>
    </r>
  </si>
  <si>
    <r>
      <t xml:space="preserve">Расценка на установку и настройку аудиотрубки в квартире взамен существующей, проверка и настройка существующей аудиотрубки, установку аудиотрубки-давальческого оборудования Заказчика
</t>
    </r>
    <r>
      <rPr>
        <sz val="10"/>
        <color theme="1"/>
        <rFont val="Consolas"/>
        <family val="3"/>
        <charset val="204"/>
      </rPr>
      <t xml:space="preserve">
- включает все работы по настройке,проверке и коммутации существующей аудиотрубки к сети Заказчика
- включает все работы по замене существующей аудиотрубки, с коммутацией новой трубки к существующей сети или к сети Заказчика
- включает все работы по установке,креплению и подключению аудиотубки и её креплений
- включает (при необходимости) устройство отверстий  в стенах (с установкой гильз) с заделкой, с учетом стоимости всех материалов.
- включает восстановление отделки/покраски поверхностей после установки (при необходимости)
</t>
    </r>
    <r>
      <rPr>
        <b/>
        <sz val="10"/>
        <color rgb="FF0000FF"/>
        <rFont val="Consolas"/>
        <family val="3"/>
        <charset val="204"/>
      </rPr>
      <t>- не включает стоимость аудиотрубки
- используется для вариантов строительства домофонной сети с давальческим оборудованием (аудиотрубками) Заказчика, в.т. числе и для случаев монтажа IP-трубок (не аналоговых)</t>
    </r>
  </si>
  <si>
    <r>
      <t xml:space="preserve">Расценка на установку и настройку абонентского видеодомофона в квартире взамен существующего, проверка и настройка существующего абонентского видеодомофона, установку видеодомоофона-давальческого оборудования Заказчика
</t>
    </r>
    <r>
      <rPr>
        <sz val="10"/>
        <color theme="1"/>
        <rFont val="Consolas"/>
        <family val="3"/>
        <charset val="204"/>
      </rPr>
      <t xml:space="preserve">- включает все работы по настройке,проверке и коммутации существующего абонетского видеодомофона к сети Заказчика
- включает все работы по замене существующего вабонетского видеодомофона, с коммутацией новго видеодомофона к существующей сети или к сети Заказчика
- включает все работы по установке,креплению и подключению видеодомофона и его креплений
- включает (при необходимости) устройство отверстий  в стенах (с установкой гильз) с заделкой, с учетом стоимости всех материалов.
- включает восстановление отделки/покраски поверхностей после установки (при необходимости)
</t>
    </r>
    <r>
      <rPr>
        <b/>
        <sz val="10"/>
        <color rgb="FF0000FF"/>
        <rFont val="Consolas"/>
        <family val="3"/>
        <charset val="204"/>
      </rPr>
      <t>- не включает стоимость абоненского видеодомофона</t>
    </r>
    <r>
      <rPr>
        <sz val="10"/>
        <color theme="1"/>
        <rFont val="Consolas"/>
        <family val="3"/>
        <charset val="204"/>
      </rPr>
      <t xml:space="preserve">
- используется для вариантов строительства домофонной сети с давальческим оборудованием (абоненскими видеодомофонами/видеопанелями/планшетами) Заказчика</t>
    </r>
  </si>
  <si>
    <r>
      <t xml:space="preserve">Расценка на установку,монтаж и сборку базовой радиостанции </t>
    </r>
    <r>
      <rPr>
        <b/>
        <sz val="10"/>
        <color rgb="FF0000FF"/>
        <rFont val="Consolas"/>
        <family val="3"/>
        <charset val="204"/>
      </rPr>
      <t>на устанавливаемых,существующих конструкциях.</t>
    </r>
    <r>
      <rPr>
        <b/>
        <sz val="10"/>
        <color theme="1"/>
        <rFont val="Consolas"/>
        <family val="3"/>
        <charset val="204"/>
      </rPr>
      <t xml:space="preserve">
</t>
    </r>
    <r>
      <rPr>
        <sz val="10"/>
        <color theme="1"/>
        <rFont val="Consolas"/>
        <family val="3"/>
        <charset val="204"/>
      </rPr>
      <t xml:space="preserve">
- включает маркировку имиджевыми и идентификационными наклейками всех проложенных кабелей и самой БС
- включает получение всех необходимых согласований на размещение БС, в т.ч. и с собствениками жилых помещений, владельцами зданий,территорий
- включает получение всех разрешительных документов
- включает оформление исполнительной документации по МР</t>
    </r>
    <r>
      <rPr>
        <b/>
        <sz val="10"/>
        <color theme="1"/>
        <rFont val="Consolas"/>
        <family val="3"/>
        <charset val="204"/>
      </rPr>
      <t xml:space="preserve">
</t>
    </r>
  </si>
  <si>
    <r>
      <t xml:space="preserve">ПИР, СМР: Монтаж медножильной фидерной линии </t>
    </r>
    <r>
      <rPr>
        <b/>
        <sz val="10"/>
        <color rgb="FFFF0000"/>
        <rFont val="Consolas"/>
        <family val="3"/>
        <charset val="204"/>
      </rPr>
      <t xml:space="preserve">240В </t>
    </r>
    <r>
      <rPr>
        <sz val="10"/>
        <rFont val="Consolas"/>
        <family val="3"/>
        <charset val="204"/>
      </rPr>
      <t>методом подвеса на трубостойки, включая кабель, трубостойки, анкера и расходные материалы.</t>
    </r>
  </si>
  <si>
    <r>
      <t xml:space="preserve">Расценка для прокладки радиофидера распределительного для сетей проводного радиовещания.
</t>
    </r>
    <r>
      <rPr>
        <sz val="10"/>
        <rFont val="Consolas"/>
        <family val="3"/>
        <charset val="204"/>
      </rPr>
      <t xml:space="preserve">
- включает (при необходимости) стальные или биметаллические провода диаметром от 3 мм для организации фидерной линии
- включает получение всех необходимых согласований на размещение БС, в т.ч. и с собствениками жилых помещений, владельцами зданий,территорий
- включает оформление исполнительной документации по МР</t>
    </r>
    <r>
      <rPr>
        <b/>
        <sz val="10"/>
        <rFont val="Consolas"/>
        <family val="3"/>
        <charset val="204"/>
      </rPr>
      <t xml:space="preserve">
</t>
    </r>
  </si>
  <si>
    <r>
      <t xml:space="preserve">Расценка на радиофикацию подъездов (для многоподъездных домов)
</t>
    </r>
    <r>
      <rPr>
        <sz val="10"/>
        <color theme="1"/>
        <rFont val="Consolas"/>
        <family val="3"/>
        <charset val="204"/>
      </rPr>
      <t>- включает,в т.ч., прокладку и монтаж кабеля по кабельному каналу от установленного оборудования
- включает получение всех необходимых согласований, в т.ч. и с собственниками жилых помещений, владельцами зданий,территорий
- включает маркировку имиджевыми идентификационными наклейками,  с учетом стоимости кабеля, прочих материалов
- включает оформление исполнительной документации по МР</t>
    </r>
  </si>
  <si>
    <r>
      <t xml:space="preserve">Расценки на прокладку абонентских линий радио или домофонии (3 способа прокладки)
это основные расценки для линий домофонии </t>
    </r>
    <r>
      <rPr>
        <b/>
        <sz val="10"/>
        <color rgb="FF0000FF"/>
        <rFont val="Consolas"/>
        <family val="3"/>
        <charset val="204"/>
      </rPr>
      <t>внутри квартир</t>
    </r>
    <r>
      <rPr>
        <b/>
        <sz val="10"/>
        <rFont val="Consolas"/>
        <family val="3"/>
        <charset val="204"/>
      </rPr>
      <t xml:space="preserve">,от распределительных коробок АГС или абонентского оборудования (роутеров и пр.) до аудиотрубок/IP-трубок, абонентских видеодомофонов/абонентских видеопанелей планшетного типа
это основные расценки для линий домофонии,телеметрии,радио и пр. услуг </t>
    </r>
    <r>
      <rPr>
        <b/>
        <sz val="10"/>
        <color rgb="FF0000FF"/>
        <rFont val="Consolas"/>
        <family val="3"/>
        <charset val="204"/>
      </rPr>
      <t>за пределами</t>
    </r>
    <r>
      <rPr>
        <b/>
        <sz val="10"/>
        <rFont val="Consolas"/>
        <family val="3"/>
        <charset val="204"/>
      </rPr>
      <t xml:space="preserve"> квартир,от распределительных коробок/оконечных устройств ДРС или от оборудования (блоков сопряжения и др.) до квартир ,</t>
    </r>
    <r>
      <rPr>
        <b/>
        <sz val="10"/>
        <color rgb="FFFF0000"/>
        <rFont val="Consolas"/>
        <family val="3"/>
        <charset val="204"/>
      </rPr>
      <t>в случаях когда под эти услуги не используется линия в проложенной АГС СПД.</t>
    </r>
    <r>
      <rPr>
        <b/>
        <sz val="10"/>
        <rFont val="Consolas"/>
        <family val="3"/>
        <charset val="204"/>
      </rPr>
      <t xml:space="preserve">
</t>
    </r>
    <r>
      <rPr>
        <sz val="10"/>
        <rFont val="Consolas"/>
        <family val="3"/>
        <charset val="204"/>
      </rPr>
      <t xml:space="preserve">- включает,в т.ч. и прокладку UTP для случаев монтажа IP-трубок в качестве аудиотрубок,видеопанелей/планшетов в квартирах </t>
    </r>
    <r>
      <rPr>
        <b/>
        <sz val="10"/>
        <color rgb="FF0000FF"/>
        <rFont val="Consolas"/>
        <family val="3"/>
        <charset val="204"/>
      </rPr>
      <t>(к расценкам 6.62.2.и 6.62.3)</t>
    </r>
    <r>
      <rPr>
        <sz val="10"/>
        <rFont val="Consolas"/>
        <family val="3"/>
        <charset val="204"/>
      </rPr>
      <t xml:space="preserve">
- включает получение всех необходимых согласований, в т.ч. и с собственниками жилых помещений, владельцами зданий,территорий
- включает маркировку имиджевыми и идентификационными наклейками
- включает оформление исполнительной документации по МР</t>
    </r>
  </si>
  <si>
    <r>
      <t xml:space="preserve">Расценка на монтаж коробки радиотрансляционной РОН/РОН 2 при строительстве сетей радиофикации
</t>
    </r>
    <r>
      <rPr>
        <sz val="10"/>
        <rFont val="Consolas"/>
        <family val="3"/>
        <charset val="204"/>
      </rPr>
      <t xml:space="preserve">
- включает получение всех необходимых согласований, в т.ч. и с собственниками жилых помещений, владельцами зданий,территорий
- включает маркировку имиджевыми и идентификационными наклейками (при необходимости)
- включает оформление исполнительной документации по МР</t>
    </r>
  </si>
  <si>
    <r>
      <t xml:space="preserve">Расценка на монтаж трансформатора ТАМУ
</t>
    </r>
    <r>
      <rPr>
        <sz val="10"/>
        <rFont val="Consolas"/>
        <family val="3"/>
        <charset val="204"/>
      </rPr>
      <t>- включает все работы по установке,креплению и подключению трансоформатора
- включает восстановление отделки/покраски поверхностей после установки
- включает получение всех необходимых согласований, в т.ч. и с собственниками жилых помещений, владельцами зданий,территорий 
- включает оформление исполнительной документации по МР</t>
    </r>
  </si>
  <si>
    <r>
      <t xml:space="preserve">Расценка на монтаж разветвительной коробки (монтажной ,распаечной)
</t>
    </r>
    <r>
      <rPr>
        <sz val="10"/>
        <rFont val="Consolas"/>
        <family val="3"/>
        <charset val="204"/>
      </rPr>
      <t xml:space="preserve">
- включает все работы по установке,креплению и расключению разветвительной коробки открытого или скрытого типа
- включает восстановление отделки/покраски поверхностей после установки
- включает получение всех необходимых согласований, в т.ч. и с собственниками жилых помещений, владельцами зданий,территорий
- количество вводов согласовать на этапе ПИР с Заказчиком
</t>
    </r>
    <r>
      <rPr>
        <b/>
        <sz val="10"/>
        <color rgb="FF0000FF"/>
        <rFont val="Consolas"/>
        <family val="3"/>
        <charset val="204"/>
      </rPr>
      <t>- не применяется совместно с расценками на АГС (6.38-6.59).</t>
    </r>
    <r>
      <rPr>
        <sz val="10"/>
        <rFont val="Consolas"/>
        <family val="3"/>
        <charset val="204"/>
      </rPr>
      <t xml:space="preserve">
- включает оформление исполнительной документации по МР</t>
    </r>
  </si>
  <si>
    <r>
      <t xml:space="preserve">Расценка на установку абонентской розетки открытого или скрытого типа
</t>
    </r>
    <r>
      <rPr>
        <sz val="10"/>
        <rFont val="Consolas"/>
        <family val="3"/>
        <charset val="204"/>
      </rPr>
      <t xml:space="preserve">- применяется для концевой заделки существующих абонентских линий
</t>
    </r>
    <r>
      <rPr>
        <b/>
        <sz val="10"/>
        <color rgb="FF0000FF"/>
        <rFont val="Consolas"/>
        <family val="3"/>
        <charset val="204"/>
      </rPr>
      <t>- не применяется для вновь прокладываемых абонентских линий 
- не применяется совместно с расценками на АГС (6.38-6.59)</t>
    </r>
    <r>
      <rPr>
        <sz val="10"/>
        <rFont val="Consolas"/>
        <family val="3"/>
        <charset val="204"/>
      </rPr>
      <t xml:space="preserve">
- включает монтаж наружной/внутренней абонентской розетки (при необходимости)
- включает устройство, при необходимости, отверстия в стене с  заделкой (с установкой гильз) для перекладывания подключаемых существующих абонентских линий,  устройство гнезд для подрозетников 
- включает восстановление отделки/покраски поверхностей после установки
- включает в себя розетки типа RJ-45/11,ОРА,РПВ,ТВ одиночные разъем F.Тип розетки определяется Заказчиком в составе заказа
- подлежит обязательную согласованию с Заказчиком на этапе ПИР с предоставлением образцов
- при необходимости включает в себя согласование с Застройщиком,УК или Заказчиком со стороны клиента/абонента
- включает маркировку имиджевыми, идентификационными наклейками (при необходимости)
</t>
    </r>
    <r>
      <rPr>
        <b/>
        <sz val="10"/>
        <color rgb="FF0000FF"/>
        <rFont val="Consolas"/>
        <family val="3"/>
        <charset val="204"/>
      </rPr>
      <t>- не включает стоимость кабеля</t>
    </r>
    <r>
      <rPr>
        <b/>
        <sz val="10"/>
        <rFont val="Consolas"/>
        <family val="3"/>
        <charset val="204"/>
      </rPr>
      <t xml:space="preserve">
</t>
    </r>
  </si>
  <si>
    <r>
      <t xml:space="preserve">Расценка на монтаж оборудования ГО и ЧС
</t>
    </r>
    <r>
      <rPr>
        <sz val="10"/>
        <rFont val="Consolas"/>
        <family val="3"/>
        <charset val="204"/>
      </rPr>
      <t xml:space="preserve">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 включает оформление исполнительной документации по МР</t>
    </r>
  </si>
  <si>
    <r>
      <t xml:space="preserve">Расценка на монтаж этажного оповещателя 30 В
</t>
    </r>
    <r>
      <rPr>
        <b/>
        <sz val="10"/>
        <color rgb="FF00B050"/>
        <rFont val="Consolas"/>
        <family val="3"/>
        <charset val="204"/>
      </rPr>
      <t>- справочно:30 В это величина входного напряжения в вольтах</t>
    </r>
    <r>
      <rPr>
        <sz val="10"/>
        <rFont val="Consolas"/>
        <family val="3"/>
        <charset val="204"/>
      </rPr>
      <t xml:space="preserve">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 включает оформление исполнительной документации по МР</t>
    </r>
  </si>
  <si>
    <r>
      <t xml:space="preserve">Расценка на монтаж рупорного громкоговорителя 100 В
</t>
    </r>
    <r>
      <rPr>
        <b/>
        <sz val="10"/>
        <color rgb="FF00B050"/>
        <rFont val="Consolas"/>
        <family val="3"/>
        <charset val="204"/>
      </rPr>
      <t xml:space="preserve">
- справочно:100 В это величина входного напряжения в вольтах</t>
    </r>
    <r>
      <rPr>
        <sz val="10"/>
        <rFont val="Consolas"/>
        <family val="3"/>
        <charset val="204"/>
      </rPr>
      <t xml:space="preserve">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 включает оформление исполнительной документации по МР</t>
    </r>
  </si>
  <si>
    <t>Расценки на организацию инфораструктуры для контроля въезда и выезда на территориях и других объектах, включая болларды</t>
  </si>
  <si>
    <r>
      <t xml:space="preserve">Расценка на ПИР под установку шлагбаума/болларда
</t>
    </r>
    <r>
      <rPr>
        <b/>
        <sz val="10"/>
        <color rgb="FF00B050"/>
        <rFont val="Consolas"/>
        <family val="3"/>
        <charset val="204"/>
      </rPr>
      <t>- справочно : шлагбаум- это устройство для контроля въезда и выезда транспорта на закрытых огороженных территориях и других объектах,состоящее из стрелы, поворачивающейся вокруг оси. Могут быть вертикальными и горизонтальными.
- справочно: боллард- автоматический выдвижной столб (противотаранный или заградительный)</t>
    </r>
    <r>
      <rPr>
        <sz val="10"/>
        <color theme="1"/>
        <rFont val="Consolas"/>
        <family val="3"/>
        <charset val="204"/>
      </rPr>
      <t xml:space="preserve">
- включает получение всех необходимых согласований и разрешений, включая собственников жилых помещений,владельцев зданий и территорий,администрацию города/района,службу государственного пожарного надзора, ОГИБДД, коммунальные службы
- согласование логики работы чуствительных элементов с Заказчиком со стороны клиента/абонента на этапе ПИР на установку шлагбаума/болларда
- включает разработку и оформление проекта на установку, подготовку полного комплекта необходимых документов для СМР на установку  </t>
    </r>
  </si>
  <si>
    <r>
      <t xml:space="preserve">Расценка на СМР по установке шлагбаума/болларда
</t>
    </r>
    <r>
      <rPr>
        <sz val="10"/>
        <color theme="1"/>
        <rFont val="Consolas"/>
        <family val="3"/>
        <charset val="204"/>
      </rPr>
      <t xml:space="preserve">- не включает стоимость шлагбаума/болларда
- включает земляные и фундаментные работы для болларда, включая организацию отверстий/котлованов с засыпкой, согласно технологии монтажа боллардов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</si>
  <si>
    <r>
      <t xml:space="preserve">Расценка на монтаж светофора к шлагбауму/болларду
</t>
    </r>
    <r>
      <rPr>
        <sz val="10"/>
        <color theme="1"/>
        <rFont val="Consolas"/>
        <family val="3"/>
        <charset val="204"/>
      </rPr>
      <t xml:space="preserve">- включает получение всех необходимых согласований и разрешений, включая собственников жилых помещений,владельцев зданий и территорий,администрацию города/района,службу государственного пожарного надзора, ОГИБДД, коммунальные службы ( для варианта установки светофоран отдельной стойке отдельно от шлагбаума/болларда и если работы не были проведены в составе ПИР на установку самого шлагбаума/болларда)
- включает разработку и оформление проекта на установку, подготовку полного комплекта необходимых документов для СМР на установку
- если длина кабеля электропитания превышает </t>
    </r>
    <r>
      <rPr>
        <sz val="10"/>
        <color rgb="FFFF0000"/>
        <rFont val="Consolas"/>
        <family val="3"/>
        <charset val="204"/>
      </rPr>
      <t>5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</si>
  <si>
    <r>
      <t>Монтаж шкафа/стойки,как в расценке 6.25,</t>
    </r>
    <r>
      <rPr>
        <b/>
        <sz val="10"/>
        <color rgb="FF0000FF"/>
        <rFont val="Consolas"/>
        <family val="3"/>
        <charset val="204"/>
      </rPr>
      <t>но без стоимости шкафа (давальческого)</t>
    </r>
    <r>
      <rPr>
        <b/>
        <sz val="10"/>
        <rFont val="Consolas"/>
        <family val="3"/>
        <charset val="204"/>
      </rPr>
      <t xml:space="preserve">
</t>
    </r>
    <r>
      <rPr>
        <sz val="10"/>
        <rFont val="Consolas"/>
        <family val="3"/>
        <charset val="204"/>
      </rPr>
      <t xml:space="preserve">- стоимость силового кабеля, превышающего </t>
    </r>
    <r>
      <rPr>
        <sz val="10"/>
        <color rgb="FFFF0000"/>
        <rFont val="Consolas"/>
        <family val="3"/>
        <charset val="204"/>
      </rPr>
      <t>20 м</t>
    </r>
    <r>
      <rPr>
        <sz val="10"/>
        <rFont val="Consolas"/>
        <family val="3"/>
        <charset val="204"/>
      </rPr>
      <t xml:space="preserve">, учитывать </t>
    </r>
    <r>
      <rPr>
        <b/>
        <sz val="10"/>
        <color rgb="FF0000FF"/>
        <rFont val="Consolas"/>
        <family val="3"/>
        <charset val="204"/>
      </rPr>
      <t xml:space="preserve">по расценкам 6.117-6.118 </t>
    </r>
    <r>
      <rPr>
        <sz val="10"/>
        <rFont val="Consolas"/>
        <family val="3"/>
        <charset val="204"/>
      </rPr>
      <t xml:space="preserve">  
- включает имиджевые наклейки и бирки на кабель
- включает оформление разрешительных документов на размещение
- включает справки о выполнении ТУ от собственников инфраструктуры (при необходимости)</t>
    </r>
  </si>
  <si>
    <r>
      <t xml:space="preserve">Расценки на монтаж шкафов/стоек различных типоразмеров (емкость в юнитах </t>
    </r>
    <r>
      <rPr>
        <b/>
        <sz val="10"/>
        <color rgb="FFFF0000"/>
        <rFont val="Consolas"/>
        <family val="3"/>
        <charset val="204"/>
      </rPr>
      <t>от 9U до 48U</t>
    </r>
    <r>
      <rPr>
        <b/>
        <sz val="10"/>
        <rFont val="Consolas"/>
        <family val="3"/>
        <charset val="204"/>
      </rPr>
      <t xml:space="preserve">)
</t>
    </r>
    <r>
      <rPr>
        <sz val="10"/>
        <rFont val="Consolas"/>
        <family val="3"/>
        <charset val="204"/>
      </rPr>
      <t xml:space="preserve">- монтаж укомплектованного шкафа (комплектация по ТЗ в договоре)
- подключение к электропитанию и заземлению (если </t>
    </r>
    <r>
      <rPr>
        <sz val="10"/>
        <color rgb="FFFF0000"/>
        <rFont val="Consolas"/>
        <family val="3"/>
        <charset val="204"/>
      </rPr>
      <t>более 20 м</t>
    </r>
    <r>
      <rPr>
        <sz val="10"/>
        <rFont val="Consolas"/>
        <family val="3"/>
        <charset val="204"/>
      </rPr>
      <t xml:space="preserve">., дополнительная длина учитывается </t>
    </r>
    <r>
      <rPr>
        <b/>
        <sz val="10"/>
        <color rgb="FF0000FF"/>
        <rFont val="Consolas"/>
        <family val="3"/>
        <charset val="204"/>
      </rPr>
      <t>по расценкам 6.117-6.118</t>
    </r>
    <r>
      <rPr>
        <sz val="10"/>
        <rFont val="Consolas"/>
        <family val="3"/>
        <charset val="204"/>
      </rPr>
      <t xml:space="preserve"> )
- включает имиджевые наклейки и пр. элементы по комплектации в ТЗ
- включает оформление разрешительных документов на размещение
- включает справки о выполнении ТУ от собственников инфраструктуры (при необходимости)
</t>
    </r>
    <r>
      <rPr>
        <b/>
        <sz val="10"/>
        <color rgb="FF0000FF"/>
        <rFont val="Consolas"/>
        <family val="3"/>
        <charset val="204"/>
      </rPr>
      <t xml:space="preserve">- не включает стоимость активного оборудования </t>
    </r>
  </si>
  <si>
    <r>
      <t>Расценка на</t>
    </r>
    <r>
      <rPr>
        <b/>
        <sz val="10"/>
        <color rgb="FF0000FF"/>
        <rFont val="Consolas"/>
        <family val="3"/>
        <charset val="204"/>
      </rPr>
      <t xml:space="preserve"> уличный </t>
    </r>
    <r>
      <rPr>
        <b/>
        <sz val="10"/>
        <rFont val="Consolas"/>
        <family val="3"/>
        <charset val="204"/>
      </rPr>
      <t>контейнер (под КУС и т.п.)
-</t>
    </r>
    <r>
      <rPr>
        <sz val="10"/>
        <rFont val="Consolas"/>
        <family val="3"/>
        <charset val="204"/>
      </rPr>
      <t xml:space="preserve"> включает землеотвод
- включает все виды согласований,в т.ч. и с собствениками помещений,зданий, территорий
- включает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справки о выполнении ТУ от собственников инфраструктуры;оформление исполнительной документации по МР
- включает оформление комплекта документов на электроснабжение
- включает благоустройство в месте работ (выравнивание поверхностей, восстановление асфальтобетонных покрытий, газонов,тротуарных покрытий)
- включает ПНР
- если длина кабеля электропитания превышает </t>
    </r>
    <r>
      <rPr>
        <b/>
        <sz val="10"/>
        <color rgb="FFFF0000"/>
        <rFont val="Consolas"/>
        <family val="3"/>
        <charset val="204"/>
      </rPr>
      <t>50 м</t>
    </r>
    <r>
      <rPr>
        <sz val="10"/>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6.116-6.118 </t>
    </r>
  </si>
  <si>
    <r>
      <t xml:space="preserve">Расценка на </t>
    </r>
    <r>
      <rPr>
        <b/>
        <sz val="10"/>
        <color rgb="FF0000FF"/>
        <rFont val="Consolas"/>
        <family val="3"/>
        <charset val="204"/>
      </rPr>
      <t xml:space="preserve">уличный навесной </t>
    </r>
    <r>
      <rPr>
        <b/>
        <sz val="10"/>
        <rFont val="Consolas"/>
        <family val="3"/>
        <charset val="204"/>
      </rPr>
      <t xml:space="preserve">термошкаф (климатический)
</t>
    </r>
    <r>
      <rPr>
        <sz val="10"/>
        <rFont val="Consolas"/>
        <family val="3"/>
        <charset val="204"/>
      </rPr>
      <t xml:space="preserve">- включает землеотвод
- включает все виды согласований,в т.ч. и с собствениками сооружений,опор,помещений,зданий, территорий
- включает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справки о выполнении ТУ от собственников инфраструктуры;оформление исполнительной документации по МР
- включает оформление комплекста документов на электроснабжение
- включает благоустройство в месте работ (выравнивание поверхностей, восстановление асфальтобетонных покрытий, газонов,тротуарных покрытий)
- включает восстановление отделки поверхностей стен зданий/опор при размещении шкафа на них
- включает ПНР
- если длина кабеля электропитания превышает </t>
    </r>
    <r>
      <rPr>
        <sz val="10"/>
        <color rgb="FFFF0000"/>
        <rFont val="Consolas"/>
        <family val="3"/>
        <charset val="204"/>
      </rPr>
      <t>50 м</t>
    </r>
    <r>
      <rPr>
        <sz val="10"/>
        <rFont val="Consolas"/>
        <family val="3"/>
        <charset val="204"/>
      </rPr>
      <t xml:space="preserve">, то дополнительная длина кабеля учитывается </t>
    </r>
    <r>
      <rPr>
        <b/>
        <sz val="10"/>
        <color rgb="FF0000FF"/>
        <rFont val="Consolas"/>
        <family val="3"/>
        <charset val="204"/>
      </rPr>
      <t>по расценкам 6.116-6.118</t>
    </r>
    <r>
      <rPr>
        <sz val="10"/>
        <rFont val="Consolas"/>
        <family val="3"/>
        <charset val="204"/>
      </rPr>
      <t xml:space="preserve"> </t>
    </r>
  </si>
  <si>
    <r>
      <t>Расценка на</t>
    </r>
    <r>
      <rPr>
        <b/>
        <sz val="10"/>
        <color rgb="FF0000FF"/>
        <rFont val="Consolas"/>
        <family val="3"/>
        <charset val="204"/>
      </rPr>
      <t xml:space="preserve"> внутренний </t>
    </r>
    <r>
      <rPr>
        <b/>
        <sz val="10"/>
        <rFont val="Consolas"/>
        <family val="3"/>
        <charset val="204"/>
      </rPr>
      <t xml:space="preserve">термошкаф (климатический)
</t>
    </r>
    <r>
      <rPr>
        <sz val="10"/>
        <rFont val="Consolas"/>
        <family val="3"/>
        <charset val="204"/>
      </rPr>
      <t xml:space="preserve">
- включает все виды согласований,в т.ч. и с собствениками помещений,зданий, территорий
- оформление разрешительных документов; справки о выполнении ТУ от собственников инфраструктуры;оформление исполнительной документации по МР
- включает оформление комплекта документов на электроснабжение
- включает ПНР
- включает восстановление отделки поверхностей стен зданий и помещений при размещении шкафа возле них
- если длина кабеля электропитания превышает 50 м, то дополнительная длина кабеля учитывается п</t>
    </r>
    <r>
      <rPr>
        <sz val="10"/>
        <color rgb="FF0000FF"/>
        <rFont val="Consolas"/>
        <family val="3"/>
        <charset val="204"/>
      </rPr>
      <t>о расценкам 6.116-6.118</t>
    </r>
    <r>
      <rPr>
        <b/>
        <sz val="10"/>
        <color rgb="FF0000FF"/>
        <rFont val="Consolas"/>
        <family val="3"/>
        <charset val="204"/>
      </rPr>
      <t xml:space="preserve"> </t>
    </r>
  </si>
  <si>
    <r>
      <t>Расценка на</t>
    </r>
    <r>
      <rPr>
        <b/>
        <sz val="10"/>
        <color rgb="FF0000FF"/>
        <rFont val="Consolas"/>
        <family val="3"/>
        <charset val="204"/>
      </rPr>
      <t xml:space="preserve"> уличный</t>
    </r>
    <r>
      <rPr>
        <b/>
        <sz val="10"/>
        <rFont val="Consolas"/>
        <family val="3"/>
        <charset val="204"/>
      </rPr>
      <t xml:space="preserve"> термошкаф (климатический)
</t>
    </r>
    <r>
      <rPr>
        <sz val="10"/>
        <rFont val="Consolas"/>
        <family val="3"/>
        <charset val="204"/>
      </rPr>
      <t xml:space="preserve">- включает землеотвод
- включает все виды согласований,в т.ч. и с собствениками помещений,зданий, территорий
- включает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справки о выполнении ТУ от собственников инфраструктуры;оформление исполнительной документации по МР
- включает оформление комплекта документов на электроснабжение
- включает благоустройство в месте работ (выравнивание поверхностей, восстановление асфальтобетонных покрытий, газонов,тротуарных покрытий)
- включает восстановление отделки поверхностей стен зданий при размещении шкафа возле них
- включает ПНР
- если длина кабеля электропитания превышает </t>
    </r>
    <r>
      <rPr>
        <b/>
        <sz val="10"/>
        <color rgb="FFFF0000"/>
        <rFont val="Consolas"/>
        <family val="3"/>
        <charset val="204"/>
      </rPr>
      <t>50 м</t>
    </r>
    <r>
      <rPr>
        <sz val="10"/>
        <rFont val="Consolas"/>
        <family val="3"/>
        <charset val="204"/>
      </rPr>
      <t xml:space="preserve">, то дополнительная длина кабеля </t>
    </r>
    <r>
      <rPr>
        <b/>
        <sz val="10"/>
        <color rgb="FF0000FF"/>
        <rFont val="Consolas"/>
        <family val="3"/>
        <charset val="204"/>
      </rPr>
      <t>учитывается по расценкам 6.116-6.118</t>
    </r>
    <r>
      <rPr>
        <sz val="10"/>
        <rFont val="Consolas"/>
        <family val="3"/>
        <charset val="204"/>
      </rPr>
      <t xml:space="preserve"> </t>
    </r>
  </si>
  <si>
    <r>
      <t>Для УР 4.8.х</t>
    </r>
    <r>
      <rPr>
        <b/>
        <sz val="10"/>
        <color rgb="FF0000FF"/>
        <rFont val="Consolas"/>
        <family val="3"/>
        <charset val="204"/>
      </rPr>
      <t xml:space="preserve">
</t>
    </r>
    <r>
      <rPr>
        <sz val="10"/>
        <rFont val="Consolas"/>
        <family val="3"/>
        <charset val="204"/>
      </rPr>
      <t xml:space="preserve">- внутриобъектовые работы включают стоимость всех применяемых материалов
- включает восстановление отделки поверхностей при внутриобъектовых работах
- включает бирки на кабель и наклейки на оконечные устройства
- установка пикетных, информационных столбиков и плакатов
- включая работы по восстановлению дорожных и тротуарных покрытий и благоустройств
- включая потраву сельхозугодий (земель)
- включая справки о выполнении ТУ от собственников инфраструктуры;
-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 строительство кабельного ввода (при необходимости) ,с установкой колодцев,прокладкой канала,производится </t>
    </r>
    <r>
      <rPr>
        <b/>
        <sz val="10"/>
        <color rgb="FF0000FF"/>
        <rFont val="Consolas"/>
        <family val="3"/>
        <charset val="204"/>
      </rPr>
      <t>по расценкам  5.24÷5.25</t>
    </r>
    <r>
      <rPr>
        <sz val="10"/>
        <rFont val="Consolas"/>
        <family val="3"/>
        <charset val="204"/>
      </rPr>
      <t xml:space="preserve">.Обычный ввод на стену или опору (в грунте до объекта, ввод через "гусак") включен в данную расценку
- длина кабеля берется физическая
- учёт прокладки кабеля "до кросса" означает до любого оконечного устройства,на котором расшит кабель
</t>
    </r>
    <r>
      <rPr>
        <b/>
        <sz val="10"/>
        <color rgb="FF0000FF"/>
        <rFont val="Consolas"/>
        <family val="3"/>
        <charset val="204"/>
      </rPr>
      <t>- не включает ГНБ/ГНП. При необходимости выполнения ГНБ/ГНП согласовать предварительно с Заказчиком</t>
    </r>
    <r>
      <rPr>
        <sz val="10"/>
        <rFont val="Consolas"/>
        <family val="3"/>
        <charset val="204"/>
      </rPr>
      <t xml:space="preserve">
- исполнительная документация согласно требованиям МР (см. приложение к Договору)</t>
    </r>
  </si>
  <si>
    <r>
      <rPr>
        <b/>
        <sz val="10"/>
        <color rgb="FF0000FF"/>
        <rFont val="Consolas"/>
        <family val="3"/>
        <charset val="204"/>
      </rPr>
      <t>Для УР 4.7.х</t>
    </r>
    <r>
      <rPr>
        <b/>
        <sz val="10"/>
        <rFont val="Consolas"/>
        <family val="3"/>
        <charset val="204"/>
      </rPr>
      <t xml:space="preserve">
</t>
    </r>
    <r>
      <rPr>
        <sz val="10"/>
        <rFont val="Consolas"/>
        <family val="3"/>
        <charset val="204"/>
      </rPr>
      <t xml:space="preserve">- внутриобъектовые работы включают стоимость всех применяемых материалов
- включает восстановление отделки поверхностей при внутриобъектовых работах
- бирки на кабель и наклейки на оконечные устройства
- включает установку доп. консолей (при необходимости) с их стоимостью
</t>
    </r>
    <r>
      <rPr>
        <b/>
        <sz val="10"/>
        <color rgb="FF0000FF"/>
        <rFont val="Consolas"/>
        <family val="3"/>
        <charset val="204"/>
      </rPr>
      <t>- не включает восстановление канализации</t>
    </r>
    <r>
      <rPr>
        <sz val="10"/>
        <rFont val="Consolas"/>
        <family val="3"/>
        <charset val="204"/>
      </rPr>
      <t xml:space="preserve">
- длина кабеля берется физическая
- учёт прокладки кабеля "до кросса" означает до любого оконечного устройства,на котором расшит кабель 
- исполнительная документация согласно требованиям МР (см. приложение к Договору)
- строительство кабельного ввода (при необходимости) от сущ. колодца до объекта производится </t>
    </r>
    <r>
      <rPr>
        <b/>
        <sz val="10"/>
        <color rgb="FF0000FF"/>
        <rFont val="Consolas"/>
        <family val="3"/>
        <charset val="204"/>
      </rPr>
      <t>по расценкам  5.24÷5.25</t>
    </r>
    <r>
      <rPr>
        <sz val="10"/>
        <rFont val="Consolas"/>
        <family val="3"/>
        <charset val="204"/>
      </rPr>
      <t>.Обычный ввод на стену или опору (в грунте до объекта, ввод через "гусак") включен в данную расценку</t>
    </r>
  </si>
  <si>
    <r>
      <rPr>
        <b/>
        <sz val="10"/>
        <color rgb="FF0000FF"/>
        <rFont val="Consolas"/>
        <family val="3"/>
        <charset val="204"/>
      </rPr>
      <t>Для УР 4.3.х</t>
    </r>
    <r>
      <rPr>
        <b/>
        <sz val="10"/>
        <rFont val="Consolas"/>
        <family val="3"/>
        <charset val="204"/>
      </rPr>
      <t xml:space="preserve">
</t>
    </r>
    <r>
      <rPr>
        <sz val="10"/>
        <rFont val="Consolas"/>
        <family val="3"/>
        <charset val="204"/>
      </rPr>
      <t xml:space="preserve">
- внутриобъектовые работы включают стоимость всех применяемых материалов
- применяется только для расчетов магистрального кабеля.
- включает восстановление отделки поверхностей при внутриобъектовых работах
- включает бирки на кабель и наклейки на оконечные устройства
- установка пикетных, информационных столбиков и плакатов
- включая работы по восстановлению дорожных и тротуарных покрытий и благоустройств
- включая потраву сельхозугодий (земель)
- включая справки о выполнении ТУ от собственников инфраструктуры;
-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 строительство кабельного ввода (при необходимости) ,с установкой колодцев,проклдакой канала,производится </t>
    </r>
    <r>
      <rPr>
        <b/>
        <sz val="10"/>
        <color rgb="FF0000FF"/>
        <rFont val="Consolas"/>
        <family val="3"/>
        <charset val="204"/>
      </rPr>
      <t>по расценкам  5.24÷5.25</t>
    </r>
    <r>
      <rPr>
        <sz val="10"/>
        <rFont val="Consolas"/>
        <family val="3"/>
        <charset val="204"/>
      </rPr>
      <t xml:space="preserve">.Обычный ввод на стену или опору (в грунте до объекта, ввод через "гусак") включен в данную расценку
- длина кабеля берется физическая (оптическая длина разделить на  коэф.укорочения из паспорта партии ВОК)
</t>
    </r>
    <r>
      <rPr>
        <b/>
        <sz val="10"/>
        <color rgb="FF0000FF"/>
        <rFont val="Consolas"/>
        <family val="3"/>
        <charset val="204"/>
      </rPr>
      <t>- не включает ГНБ/ГНП. При необходимости выполнения ГНБ/ГНП согласовать предварительно с Заказчиком</t>
    </r>
    <r>
      <rPr>
        <sz val="10"/>
        <rFont val="Consolas"/>
        <family val="3"/>
        <charset val="204"/>
      </rPr>
      <t xml:space="preserve">
- исполнительная документация согласно требованиям МР (см. приложение к Договору)</t>
    </r>
  </si>
  <si>
    <r>
      <rPr>
        <b/>
        <sz val="10"/>
        <color rgb="FF0000FF"/>
        <rFont val="Consolas"/>
        <family val="3"/>
        <charset val="204"/>
      </rPr>
      <t>Для УР 4.2.х</t>
    </r>
    <r>
      <rPr>
        <b/>
        <sz val="10"/>
        <rFont val="Consolas"/>
        <family val="3"/>
        <charset val="204"/>
      </rPr>
      <t xml:space="preserve">
</t>
    </r>
    <r>
      <rPr>
        <sz val="10"/>
        <rFont val="Consolas"/>
        <family val="3"/>
        <charset val="204"/>
      </rPr>
      <t xml:space="preserve">- внутриобъектовые работы включают стоимость всех применяемых материалов
- применяется только для расчетов магистрального кабеля.
- включает восстановление отделки поверхностей при внутриобъектовых работах
- бирки на кабель и наклейки на оконечные устройства
- включает установку доп. консолей (при необходимости) с их стоимостью
</t>
    </r>
    <r>
      <rPr>
        <b/>
        <sz val="10"/>
        <color rgb="FF0000FF"/>
        <rFont val="Consolas"/>
        <family val="3"/>
        <charset val="204"/>
      </rPr>
      <t>- не включает восстановление канализации</t>
    </r>
    <r>
      <rPr>
        <sz val="10"/>
        <rFont val="Consolas"/>
        <family val="3"/>
        <charset val="204"/>
      </rPr>
      <t xml:space="preserve">
- длина кабеля берется физическая (оптическая длина разделить на  коэф.укорочения из паспорта партии ВОК)
- строительство кабельного ввода (при необходимости) от сущ. колодца до объекта производится </t>
    </r>
    <r>
      <rPr>
        <b/>
        <sz val="10"/>
        <color rgb="FF0000FF"/>
        <rFont val="Consolas"/>
        <family val="3"/>
        <charset val="204"/>
      </rPr>
      <t>по расценкам  5.24÷5.25</t>
    </r>
    <r>
      <rPr>
        <sz val="10"/>
        <rFont val="Consolas"/>
        <family val="3"/>
        <charset val="204"/>
      </rPr>
      <t>.Обычный ввод на стену или опору (в грунте до объекта, ввод через "гусак") включен в данную расценку
- исполнительная документация согласно требованиям МР (см. приложение к Договору)</t>
    </r>
  </si>
  <si>
    <r>
      <rPr>
        <b/>
        <sz val="10"/>
        <color rgb="FF0000FF"/>
        <rFont val="Consolas"/>
        <family val="3"/>
        <charset val="204"/>
      </rPr>
      <t>для УР 4.1.1.</t>
    </r>
    <r>
      <rPr>
        <b/>
        <sz val="10"/>
        <rFont val="Consolas"/>
        <family val="3"/>
        <charset val="204"/>
      </rPr>
      <t xml:space="preserve">
</t>
    </r>
    <r>
      <rPr>
        <b/>
        <sz val="10"/>
        <color rgb="FF0000FF"/>
        <rFont val="Consolas"/>
        <family val="3"/>
        <charset val="204"/>
      </rPr>
      <t>- не применяется по умолчанию с работами из разделами 3,4,5,6</t>
    </r>
    <r>
      <rPr>
        <sz val="10"/>
        <rFont val="Consolas"/>
        <family val="3"/>
        <charset val="204"/>
      </rPr>
      <t xml:space="preserve">
- применяется точечно,в случае выдачи отдельным заказом на планирумые Заказчиком объекты строительства</t>
    </r>
  </si>
  <si>
    <r>
      <t xml:space="preserve">Расценка на монтаж обогревателя с термостатом для шлагбаума/болларда
</t>
    </r>
    <r>
      <rPr>
        <sz val="10"/>
        <color theme="1"/>
        <rFont val="Consolas"/>
        <family val="3"/>
        <charset val="204"/>
      </rPr>
      <t>-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t>
    </r>
  </si>
  <si>
    <r>
      <t xml:space="preserve">Расценка на монтаж индукционной петли
</t>
    </r>
    <r>
      <rPr>
        <sz val="10"/>
        <color theme="1"/>
        <rFont val="Consolas"/>
        <family val="3"/>
        <charset val="204"/>
      </rPr>
      <t>- согласование логики работы чувствительных элементов с Заказчиком со стороны клиента/абонента на этапе ПИР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на закладку чувствительных элементов с нарушением благоустройства
- включает оформление исполнительной документации по МР</t>
    </r>
  </si>
  <si>
    <r>
      <t>Установка и монтаж турникета</t>
    </r>
    <r>
      <rPr>
        <b/>
        <sz val="10"/>
        <color rgb="FF0000FF"/>
        <rFont val="Consolas"/>
        <family val="3"/>
        <charset val="204"/>
      </rPr>
      <t xml:space="preserve"> внутри помещения </t>
    </r>
    <r>
      <rPr>
        <sz val="10"/>
        <color rgb="FF000000"/>
        <rFont val="Consolas"/>
        <family val="3"/>
        <charset val="204"/>
      </rPr>
      <t xml:space="preserve">(полуростовый, трипод, роторный) </t>
    </r>
  </si>
  <si>
    <r>
      <t xml:space="preserve">Установка и монтаж полноростового турникета </t>
    </r>
    <r>
      <rPr>
        <b/>
        <sz val="10"/>
        <color rgb="FF0000FF"/>
        <rFont val="Consolas"/>
        <family val="3"/>
        <charset val="204"/>
      </rPr>
      <t xml:space="preserve">внутри помещения </t>
    </r>
  </si>
  <si>
    <r>
      <t>Установка и монтаж турникета</t>
    </r>
    <r>
      <rPr>
        <b/>
        <sz val="10"/>
        <color rgb="FF0000FF"/>
        <rFont val="Consolas"/>
        <family val="3"/>
        <charset val="204"/>
      </rPr>
      <t xml:space="preserve"> уличного исполнения </t>
    </r>
    <r>
      <rPr>
        <sz val="10"/>
        <color rgb="FF000000"/>
        <rFont val="Consolas"/>
        <family val="3"/>
        <charset val="204"/>
      </rPr>
      <t xml:space="preserve">(полуростовый, трипод, роторный) </t>
    </r>
  </si>
  <si>
    <r>
      <t xml:space="preserve">Монтаж/установка полноростового турникета </t>
    </r>
    <r>
      <rPr>
        <b/>
        <sz val="10"/>
        <color rgb="FF0000FF"/>
        <rFont val="Consolas"/>
        <family val="3"/>
        <charset val="204"/>
      </rPr>
      <t>уличного исполнения</t>
    </r>
  </si>
  <si>
    <r>
      <t>Расценка на установку и монтаж полноростовых турникетов</t>
    </r>
    <r>
      <rPr>
        <b/>
        <sz val="10"/>
        <color rgb="FF0000FF"/>
        <rFont val="Consolas"/>
        <family val="3"/>
        <charset val="204"/>
      </rPr>
      <t xml:space="preserve"> в помещениях</t>
    </r>
    <r>
      <rPr>
        <b/>
        <sz val="10"/>
        <color theme="1"/>
        <rFont val="Consolas"/>
        <family val="3"/>
        <charset val="204"/>
      </rPr>
      <t xml:space="preserve">
</t>
    </r>
    <r>
      <rPr>
        <sz val="10"/>
        <color theme="1"/>
        <rFont val="Consolas"/>
        <family val="3"/>
        <charset val="204"/>
      </rPr>
      <t xml:space="preserve">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t>
    </r>
    <r>
      <rPr>
        <b/>
        <sz val="10"/>
        <color rgb="FF0000FF"/>
        <rFont val="Consolas"/>
        <family val="3"/>
        <charset val="204"/>
      </rPr>
      <t>- не включает работы для турникетов типа полуростовый, трипод, роторный</t>
    </r>
    <r>
      <rPr>
        <sz val="10"/>
        <color theme="1"/>
        <rFont val="Consolas"/>
        <family val="3"/>
        <charset val="204"/>
      </rPr>
      <t xml:space="preserve">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по расценкам 6.117-6.118</t>
    </r>
    <r>
      <rPr>
        <sz val="10"/>
        <color theme="1"/>
        <rFont val="Consolas"/>
        <family val="3"/>
        <charset val="204"/>
      </rPr>
      <t xml:space="preserve"> 
- включает оформление исполнительной документации по МР </t>
    </r>
  </si>
  <si>
    <r>
      <t xml:space="preserve">Расценка на установку и монтаж турникетов </t>
    </r>
    <r>
      <rPr>
        <b/>
        <sz val="10"/>
        <color rgb="FF0000FF"/>
        <rFont val="Consolas"/>
        <family val="3"/>
        <charset val="204"/>
      </rPr>
      <t>в помещениях</t>
    </r>
    <r>
      <rPr>
        <b/>
        <sz val="10"/>
        <color theme="1"/>
        <rFont val="Consolas"/>
        <family val="3"/>
        <charset val="204"/>
      </rPr>
      <t xml:space="preserve">
</t>
    </r>
    <r>
      <rPr>
        <sz val="10"/>
        <color theme="1"/>
        <rFont val="Consolas"/>
        <family val="3"/>
        <charset val="204"/>
      </rPr>
      <t xml:space="preserve">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t>
    </r>
    <r>
      <rPr>
        <b/>
        <sz val="10"/>
        <color rgb="FF0000FF"/>
        <rFont val="Consolas"/>
        <family val="3"/>
        <charset val="204"/>
      </rPr>
      <t>- не включает работы для полноростовых турникетов</t>
    </r>
    <r>
      <rPr>
        <sz val="10"/>
        <color theme="1"/>
        <rFont val="Consolas"/>
        <family val="3"/>
        <charset val="204"/>
      </rPr>
      <t xml:space="preserve">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r>
      <rPr>
        <sz val="10"/>
        <color theme="1"/>
        <rFont val="Consolas"/>
        <family val="3"/>
        <charset val="204"/>
      </rPr>
      <t xml:space="preserve">
- включает оформление исполнительной документации по МР</t>
    </r>
  </si>
  <si>
    <r>
      <t>Расценка на установку и монтаж турникетов</t>
    </r>
    <r>
      <rPr>
        <b/>
        <sz val="10"/>
        <color rgb="FF0000FF"/>
        <rFont val="Consolas"/>
        <family val="3"/>
        <charset val="204"/>
      </rPr>
      <t xml:space="preserve"> уличных</t>
    </r>
    <r>
      <rPr>
        <b/>
        <sz val="10"/>
        <color theme="1"/>
        <rFont val="Consolas"/>
        <family val="3"/>
        <charset val="204"/>
      </rPr>
      <t xml:space="preserve">
</t>
    </r>
    <r>
      <rPr>
        <sz val="10"/>
        <color theme="1"/>
        <rFont val="Consolas"/>
        <family val="3"/>
        <charset val="204"/>
      </rPr>
      <t xml:space="preserve">-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 не включает работы для полноростовых турникетов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r>
      <rPr>
        <sz val="10"/>
        <color theme="1"/>
        <rFont val="Consolas"/>
        <family val="3"/>
        <charset val="204"/>
      </rPr>
      <t xml:space="preserve">
- включает выполнение исполнительной топосъёмки (при необходимости)
- включает оформление исполнительной документации по МР  </t>
    </r>
  </si>
  <si>
    <r>
      <t>Расценка на установку и монтаж полноростовых турникетов</t>
    </r>
    <r>
      <rPr>
        <b/>
        <sz val="10"/>
        <color rgb="FF0000FF"/>
        <rFont val="Consolas"/>
        <family val="3"/>
        <charset val="204"/>
      </rPr>
      <t xml:space="preserve"> уличных</t>
    </r>
    <r>
      <rPr>
        <b/>
        <sz val="10"/>
        <color theme="1"/>
        <rFont val="Consolas"/>
        <family val="3"/>
        <charset val="204"/>
      </rPr>
      <t xml:space="preserve">
-</t>
    </r>
    <r>
      <rPr>
        <sz val="10"/>
        <color theme="1"/>
        <rFont val="Consolas"/>
        <family val="3"/>
        <charset val="204"/>
      </rPr>
      <t xml:space="preserve">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 не включает работы для турникетов типа полуростовый, трипод, роторный 
- если длина кабеля электропитания превышает </t>
    </r>
    <r>
      <rPr>
        <sz val="10"/>
        <color rgb="FFFF0000"/>
        <rFont val="Consolas"/>
        <family val="3"/>
        <charset val="204"/>
      </rPr>
      <t>20 м</t>
    </r>
    <r>
      <rPr>
        <sz val="10"/>
        <color theme="1"/>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6.117-6.118 </t>
    </r>
    <r>
      <rPr>
        <sz val="10"/>
        <color theme="1"/>
        <rFont val="Consolas"/>
        <family val="3"/>
        <charset val="204"/>
      </rPr>
      <t xml:space="preserve">
- включает выполнение исполнительной топосъёмки (при необходимости)
- включает оформление исполнительной документации по МР </t>
    </r>
    <r>
      <rPr>
        <b/>
        <sz val="10"/>
        <color theme="1"/>
        <rFont val="Consolas"/>
        <family val="3"/>
        <charset val="204"/>
      </rPr>
      <t xml:space="preserve"> </t>
    </r>
  </si>
  <si>
    <r>
      <t xml:space="preserve">Расценка на подключение, программирование СКУД
</t>
    </r>
    <r>
      <rPr>
        <sz val="10"/>
        <color theme="1"/>
        <rFont val="Consolas"/>
        <family val="3"/>
        <charset val="204"/>
      </rPr>
      <t>- применяется в качестве ПНР на построенной СКУД, разово на весь комплекс на Объекте</t>
    </r>
  </si>
  <si>
    <r>
      <t xml:space="preserve">Расценка на установку и монтаж базовой станции телеметрии
</t>
    </r>
    <r>
      <rPr>
        <sz val="10"/>
        <color theme="1"/>
        <rFont val="Consolas"/>
        <family val="3"/>
        <charset val="204"/>
      </rPr>
      <t xml:space="preserve">- в состав работ входят ПИР, СМР и прочие работы
- спецификацию на требуемое оборудование получить и согласовать с Заказчиком на этапе ПИР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на размещение базового оборудования
- включая маркировку имиджевыми и идентификационными наклейками оборудования и кабелей
- включает стоимости материалов и комплектующих для организации подключения
- включает стоимость оборудования (БС) и всех материалов
</t>
    </r>
    <r>
      <rPr>
        <b/>
        <sz val="10"/>
        <color rgb="FF0000FF"/>
        <rFont val="Consolas"/>
        <family val="3"/>
        <charset val="204"/>
      </rPr>
      <t>- не включает стоимость оконечного оборудования телеметрии</t>
    </r>
  </si>
  <si>
    <r>
      <t xml:space="preserve">Расценка на установку и монтаж электросчетчика с радиомодулем для телеметрии
</t>
    </r>
    <r>
      <rPr>
        <sz val="10"/>
        <rFont val="Consolas"/>
        <family val="3"/>
        <charset val="204"/>
      </rPr>
      <t>- комплекс работ по установке,монтажу и настройке электросчетчика с радиомодулем
- включает получение всех необходимых согласований и разрешений, включая собственников жилых помещений,владельцев зданий и территорий (при необходимости) на размещение оконечного оборудования телеметрии</t>
    </r>
  </si>
  <si>
    <r>
      <t xml:space="preserve">Расценка на установку,монтаж и ПНР модуля LoRa/NB-IoT (телеметрия)
</t>
    </r>
    <r>
      <rPr>
        <sz val="10"/>
        <rFont val="Consolas"/>
        <family val="3"/>
        <charset val="204"/>
      </rPr>
      <t>- включает ПНР</t>
    </r>
  </si>
  <si>
    <r>
      <t xml:space="preserve">Расценка на монтаж блока коммутации теплосчетчиков (телеметрия)
</t>
    </r>
    <r>
      <rPr>
        <sz val="10"/>
        <rFont val="Consolas"/>
        <family val="3"/>
        <charset val="204"/>
      </rPr>
      <t xml:space="preserve">
- включает ПНР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t>
    </r>
    <r>
      <rPr>
        <b/>
        <sz val="10"/>
        <color rgb="FF0000FF"/>
        <rFont val="Consolas"/>
        <family val="3"/>
        <charset val="204"/>
      </rPr>
      <t>- не включает стоимость кабеля UTP или КПСВВнг(А)-LS (или аналог). Кабель учитывать по расценкам 6.67-6.69</t>
    </r>
    <r>
      <rPr>
        <sz val="10"/>
        <rFont val="Consolas"/>
        <family val="3"/>
        <charset val="204"/>
      </rPr>
      <t xml:space="preserve">
- включает оформление исполнительной документации по МР</t>
    </r>
  </si>
  <si>
    <r>
      <t xml:space="preserve">Расценка на установку регистратора для теплосчётчиков (телеметрия)
</t>
    </r>
    <r>
      <rPr>
        <sz val="10"/>
        <rFont val="Consolas"/>
        <family val="3"/>
        <charset val="204"/>
      </rPr>
      <t xml:space="preserve">- включает ПНР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t>
    </r>
    <r>
      <rPr>
        <b/>
        <sz val="10"/>
        <color rgb="FF0000FF"/>
        <rFont val="Consolas"/>
        <family val="3"/>
        <charset val="204"/>
      </rPr>
      <t>- не включает стоимость кабеля UTP или КПСВВнг(А)-LS (или аналог). Кабель учитывать по расценкам 6.67-6.69</t>
    </r>
    <r>
      <rPr>
        <sz val="10"/>
        <rFont val="Consolas"/>
        <family val="3"/>
        <charset val="204"/>
      </rPr>
      <t xml:space="preserve">
- включает оформление исполнительной документации по МР</t>
    </r>
  </si>
  <si>
    <r>
      <t xml:space="preserve">Расценка на установку контроллера для теплосчётчиков (телеметрия)
</t>
    </r>
    <r>
      <rPr>
        <sz val="10"/>
        <rFont val="Consolas"/>
        <family val="3"/>
        <charset val="204"/>
      </rPr>
      <t xml:space="preserve">
- включает ПНР
- включает восстановление отделки/покраски поверхностей после монтажа
- включает получение всех необходимых согласований на размещение оборудования, в т.ч. и с собствениками жилых помещений, владельцами зданий,территорий
- включает маркировку имиджевыми, идентификационными наклейками (при необходимости)
- включает кабель эл. питания
</t>
    </r>
    <r>
      <rPr>
        <b/>
        <sz val="10"/>
        <color rgb="FF0000FF"/>
        <rFont val="Consolas"/>
        <family val="3"/>
        <charset val="204"/>
      </rPr>
      <t>- не включает стоимость кабеля UTP или КПСВВнг(А)-LS (или аналог). Кабель учитывать по расценкам 6.67-6.69</t>
    </r>
    <r>
      <rPr>
        <sz val="10"/>
        <rFont val="Consolas"/>
        <family val="3"/>
        <charset val="204"/>
      </rPr>
      <t xml:space="preserve">
- включает оформление исполнительной документации по МР</t>
    </r>
  </si>
  <si>
    <r>
      <t xml:space="preserve">Установка, настройка оборудования Wi-Fi, видеокамеры </t>
    </r>
    <r>
      <rPr>
        <b/>
        <sz val="10"/>
        <color rgb="FF0000FF"/>
        <rFont val="Consolas"/>
        <family val="3"/>
        <charset val="204"/>
      </rPr>
      <t>в помещении (в т.ч в ДХ)</t>
    </r>
  </si>
  <si>
    <r>
      <t xml:space="preserve">Расценка на установку и настройку в/камер внутренних для помещений жилых и офисных и оборудования Wi-Fi для помещений жилых и подъездов 
</t>
    </r>
    <r>
      <rPr>
        <sz val="10"/>
        <color theme="1"/>
        <rFont val="Consolas"/>
        <family val="3"/>
        <charset val="204"/>
      </rPr>
      <t xml:space="preserve">- включает установку монтажной коробки (степень защиты не менее IP 54, число выводов 4-6)
- включает заделку разъемов  UTP и подключения питания (в т.ч.POE-инжектор)
- включает подключение камеры  к порту коммутатора
- включает настройку изображения и фокуса
- включает маркировку имиджевыми идентификационными наклейками
- включает оформление разрешительных документов
- включает оформление исполнительной документации по МР
</t>
    </r>
    <r>
      <rPr>
        <b/>
        <sz val="10"/>
        <color rgb="FF0000FF"/>
        <rFont val="Consolas"/>
        <family val="3"/>
        <charset val="204"/>
      </rPr>
      <t>- не включает внутриподъездные в/камеры и сопуствующие работы. Такие работы учитывать по расценке 6.91</t>
    </r>
  </si>
  <si>
    <r>
      <t xml:space="preserve">Установка, настройка  видеокамеры </t>
    </r>
    <r>
      <rPr>
        <b/>
        <sz val="10"/>
        <color rgb="FF0000FF"/>
        <rFont val="Consolas"/>
        <family val="3"/>
        <charset val="204"/>
      </rPr>
      <t xml:space="preserve">с кронштейном на фасаде здания </t>
    </r>
  </si>
  <si>
    <r>
      <t xml:space="preserve">Расценка на установку и настройку в/камер уличных для В2С,В2В
</t>
    </r>
    <r>
      <rPr>
        <b/>
        <sz val="10"/>
        <color rgb="FF0000FF"/>
        <rFont val="Consolas"/>
        <family val="3"/>
        <charset val="204"/>
      </rPr>
      <t>- не применяется к уличным в/камерам, расположенным на  столбовых опорах</t>
    </r>
    <r>
      <rPr>
        <sz val="10"/>
        <color theme="1"/>
        <rFont val="Consolas"/>
        <family val="3"/>
        <charset val="204"/>
      </rPr>
      <t xml:space="preserve">
- включает установку монтажной коробки (степень защиты не менее IP 54, число выводов 4-6) с её стоимостью
- включает заделку разъемов  UTP и подключения питания (в т.ч.POE-инжектор)
- включает подключение камеры  к порту коммутатора
- включает настройку изображения и фокуса
- включает маркировку имиджевыми идентификационными наклейками
- включает оформление разрешительных документов
- включает оформление исполнительной документации по МР</t>
    </r>
  </si>
  <si>
    <r>
      <t xml:space="preserve">Установка камеры </t>
    </r>
    <r>
      <rPr>
        <b/>
        <sz val="10"/>
        <color rgb="FF0000FF"/>
        <rFont val="Consolas"/>
        <family val="3"/>
        <charset val="204"/>
      </rPr>
      <t xml:space="preserve">подъездного/внутриподъездного видеонаблюдения </t>
    </r>
    <r>
      <rPr>
        <sz val="10"/>
        <color theme="1"/>
        <rFont val="Consolas"/>
        <family val="3"/>
        <charset val="204"/>
      </rPr>
      <t>(ПВН)  (в т.ч системы городского видеонаблюдения)</t>
    </r>
  </si>
  <si>
    <r>
      <rPr>
        <b/>
        <sz val="10"/>
        <color rgb="FF0000FF"/>
        <rFont val="Consolas"/>
        <family val="3"/>
        <charset val="204"/>
      </rPr>
      <t>Уличная</t>
    </r>
    <r>
      <rPr>
        <b/>
        <sz val="10"/>
        <color theme="1"/>
        <rFont val="Consolas"/>
        <family val="3"/>
        <charset val="204"/>
      </rPr>
      <t xml:space="preserve"> </t>
    </r>
    <r>
      <rPr>
        <sz val="10"/>
        <color theme="1"/>
        <rFont val="Consolas"/>
        <family val="3"/>
        <charset val="204"/>
      </rPr>
      <t xml:space="preserve">камера </t>
    </r>
    <r>
      <rPr>
        <b/>
        <sz val="10"/>
        <color rgb="FF0000FF"/>
        <rFont val="Consolas"/>
        <family val="3"/>
        <charset val="204"/>
      </rPr>
      <t>на столбовой опоре</t>
    </r>
  </si>
  <si>
    <r>
      <t xml:space="preserve">Расценка на установку и настройку в/камер </t>
    </r>
    <r>
      <rPr>
        <b/>
        <sz val="10"/>
        <color rgb="FF0000FF"/>
        <rFont val="Consolas"/>
        <family val="3"/>
        <charset val="204"/>
      </rPr>
      <t>уличных на столбовых опорах</t>
    </r>
    <r>
      <rPr>
        <b/>
        <sz val="10"/>
        <color theme="1"/>
        <rFont val="Consolas"/>
        <family val="3"/>
        <charset val="204"/>
      </rPr>
      <t xml:space="preserve">
-----------------------------------------------------------------------------------------------------------
</t>
    </r>
    <r>
      <rPr>
        <sz val="10"/>
        <color theme="1"/>
        <rFont val="Consolas"/>
        <family val="3"/>
        <charset val="204"/>
      </rPr>
      <t>- включает получение необходимых согласований и разрешений на работу в охранной зоне ЛЭП, включая получение ТУ (при необходимости)
- включает получение необходимых согласований и разрешений на работу на опорах сторонних организаций, включая получение разрешения на размещение оборудования на опоре у владельца опор (при необходимости)
- включает установку монтажной коробки (степень защиты не менее IP 54, число выводов 4-6) с её стоимостью
- включает заделку разъемов  UTP и подключения питания (в т.ч.POE-инжектор)
- включает подключение камеры  к порту коммутатора
- включает настройку изображения и фокуса
- включает маркировку имиджевыми идентификационными наклейками
- включает оформление разрешительных документов
- включает оформление исполнительной документации по МР</t>
    </r>
  </si>
  <si>
    <r>
      <t xml:space="preserve">Расценка на установку и настройку в/камер </t>
    </r>
    <r>
      <rPr>
        <b/>
        <sz val="10"/>
        <color rgb="FF0000FF"/>
        <rFont val="Consolas"/>
        <family val="3"/>
        <charset val="204"/>
      </rPr>
      <t>внутриподъездных( в т.ч. и внутрилифтовых) и околоподъездных</t>
    </r>
    <r>
      <rPr>
        <b/>
        <sz val="10"/>
        <rFont val="Consolas"/>
        <family val="3"/>
        <charset val="204"/>
      </rPr>
      <t xml:space="preserve"> В2С
в части городского в/наблюдения
-----------------------------------------------------------------------------------------------------------
</t>
    </r>
    <r>
      <rPr>
        <sz val="10"/>
        <color rgb="FF00B050"/>
        <rFont val="Consolas"/>
        <family val="3"/>
        <charset val="204"/>
      </rPr>
      <t>- подъездное (околоподъездное) в/наблюдение: в/камера размещённая у входа в подъезд снаружи для контроля уличного пространства у подъезда</t>
    </r>
    <r>
      <rPr>
        <sz val="10"/>
        <rFont val="Consolas"/>
        <family val="3"/>
        <charset val="204"/>
      </rPr>
      <t xml:space="preserve">
- включает установку монтажной коробки (степень защиты не менее IP 54, число выводов 4-6)
- включает заделку разъемов  UTP и подключения питания (в т.ч.POE-инжектор)
- включает подключение камеры  к порту коммутатора
- включает настройку изображения и фокуса
- включает маркировку имиджевыми идентификационными наклейками
- включает оформление разрешительных документов
- включает оформление исполнительной документации по МР</t>
    </r>
  </si>
  <si>
    <r>
      <t xml:space="preserve">Расценка на монтаж оборудования Wi-Fi </t>
    </r>
    <r>
      <rPr>
        <b/>
        <sz val="10"/>
        <color rgb="FF0000FF"/>
        <rFont val="Consolas"/>
        <family val="3"/>
        <charset val="204"/>
      </rPr>
      <t>внешнего (уличного)</t>
    </r>
    <r>
      <rPr>
        <b/>
        <sz val="10"/>
        <color theme="1"/>
        <rFont val="Consolas"/>
        <family val="3"/>
        <charset val="204"/>
      </rPr>
      <t xml:space="preserve">
</t>
    </r>
    <r>
      <rPr>
        <sz val="10"/>
        <color theme="1"/>
        <rFont val="Consolas"/>
        <family val="3"/>
        <charset val="204"/>
      </rPr>
      <t>---------------------------------------------------------------------------------------------------------
- включает получение необходимых согласований и разрешений на размещение ТД на выбранном месте установки
- включает маркировку имиджевыми идентификационными наклейками. 
- включает оформление исполнительной документации по МР</t>
    </r>
  </si>
  <si>
    <r>
      <t xml:space="preserve">Расценка на монтаж оборудования Wi-Fi </t>
    </r>
    <r>
      <rPr>
        <b/>
        <sz val="10"/>
        <color rgb="FF0000FF"/>
        <rFont val="Consolas"/>
        <family val="3"/>
        <charset val="204"/>
      </rPr>
      <t>внутреннего</t>
    </r>
    <r>
      <rPr>
        <b/>
        <sz val="10"/>
        <color theme="1"/>
        <rFont val="Consolas"/>
        <family val="3"/>
        <charset val="204"/>
      </rPr>
      <t xml:space="preserve">
</t>
    </r>
    <r>
      <rPr>
        <b/>
        <sz val="10"/>
        <color rgb="FF0000FF"/>
        <rFont val="Consolas"/>
        <family val="3"/>
        <charset val="204"/>
      </rPr>
      <t>- не применяется для жилых помещений</t>
    </r>
    <r>
      <rPr>
        <sz val="10"/>
        <color theme="1"/>
        <rFont val="Consolas"/>
        <family val="3"/>
        <charset val="204"/>
      </rPr>
      <t xml:space="preserve">
- включает получение необходимых согласований и разрешений на размещение ТД на выбранном месте установки
- маркировка имиджевыми идентификационными наклейками.</t>
    </r>
    <r>
      <rPr>
        <b/>
        <sz val="10"/>
        <color theme="1"/>
        <rFont val="Consolas"/>
        <family val="3"/>
        <charset val="204"/>
      </rPr>
      <t xml:space="preserve">  
</t>
    </r>
  </si>
  <si>
    <r>
      <t xml:space="preserve">Прокладка ПВХ трубы </t>
    </r>
    <r>
      <rPr>
        <b/>
        <sz val="10"/>
        <color rgb="FFFF0000"/>
        <rFont val="Consolas"/>
        <family val="3"/>
        <charset val="204"/>
      </rPr>
      <t>D25</t>
    </r>
    <r>
      <rPr>
        <sz val="10"/>
        <color rgb="FF000000"/>
        <rFont val="Consolas"/>
        <family val="3"/>
        <charset val="204"/>
      </rPr>
      <t xml:space="preserve"> </t>
    </r>
    <r>
      <rPr>
        <b/>
        <sz val="10"/>
        <color rgb="FF0000FF"/>
        <rFont val="Consolas"/>
        <family val="3"/>
        <charset val="204"/>
      </rPr>
      <t xml:space="preserve">в грунте </t>
    </r>
  </si>
  <si>
    <r>
      <t xml:space="preserve">Расценка на трубку ПВХ д= </t>
    </r>
    <r>
      <rPr>
        <b/>
        <sz val="10"/>
        <color rgb="FFFF0000"/>
        <rFont val="Consolas"/>
        <family val="3"/>
        <charset val="204"/>
      </rPr>
      <t>25 мм</t>
    </r>
    <r>
      <rPr>
        <b/>
        <sz val="10"/>
        <rFont val="Consolas"/>
        <family val="3"/>
        <charset val="204"/>
      </rPr>
      <t xml:space="preserve"> на закладки </t>
    </r>
    <r>
      <rPr>
        <b/>
        <sz val="10"/>
        <color rgb="FF0000FF"/>
        <rFont val="Consolas"/>
        <family val="3"/>
        <charset val="204"/>
      </rPr>
      <t>в грунт</t>
    </r>
    <r>
      <rPr>
        <b/>
        <sz val="10"/>
        <rFont val="Consolas"/>
        <family val="3"/>
        <charset val="204"/>
      </rPr>
      <t xml:space="preserve">
</t>
    </r>
    <r>
      <rPr>
        <sz val="10"/>
        <rFont val="Consolas"/>
        <family val="3"/>
        <charset val="204"/>
      </rPr>
      <t xml:space="preserve">
- применяется для закладки в грунт под размещение кабелей/линий и кабелей эл. питания в проектах комплексных решений для подключения СКУД, шлагбаумов/боллардов, закладки абонентских кабелей при прокладки в грунте для В2В,В2G и пр, в отдельных случаях при инсталляциях B2C.Применяется только для внешней прокладки
- включает получение всех необходимых согласований на организацию трассы проклдаки, в т.ч. и с собствениками жилых помещений, владельцами зданий,территорий
- включает герметичную стыковку труб с организацией сплошного канала под размещение кабелей связи и электропитания
- включает организацию ввода трубки-канала в устройства с подключаемым оборудованием (стойки шлагбмаумов,СКУД,в/камер, опоры с оборудованием и т.д.)
</t>
    </r>
    <r>
      <rPr>
        <b/>
        <sz val="10"/>
        <color rgb="FF0000FF"/>
        <rFont val="Consolas"/>
        <family val="3"/>
        <charset val="204"/>
      </rPr>
      <t>- не включает стоимость кабелей</t>
    </r>
  </si>
  <si>
    <r>
      <rPr>
        <b/>
        <sz val="10"/>
        <color rgb="FF0000FF"/>
        <rFont val="Consolas"/>
        <family val="3"/>
        <charset val="204"/>
      </rPr>
      <t>Уличная</t>
    </r>
    <r>
      <rPr>
        <sz val="10"/>
        <color theme="1"/>
        <rFont val="Consolas"/>
        <family val="3"/>
        <charset val="204"/>
      </rPr>
      <t xml:space="preserve"> камера </t>
    </r>
    <r>
      <rPr>
        <b/>
        <sz val="10"/>
        <color rgb="FF0000FF"/>
        <rFont val="Consolas"/>
        <family val="3"/>
        <charset val="204"/>
      </rPr>
      <t>на столбовой опоре</t>
    </r>
  </si>
  <si>
    <r>
      <t>Установка камеры</t>
    </r>
    <r>
      <rPr>
        <b/>
        <sz val="10"/>
        <color rgb="FF0000FF"/>
        <rFont val="Consolas"/>
        <family val="3"/>
        <charset val="204"/>
      </rPr>
      <t xml:space="preserve"> подъездного/внутриподъездного </t>
    </r>
    <r>
      <rPr>
        <sz val="10"/>
        <color theme="1"/>
        <rFont val="Consolas"/>
        <family val="3"/>
        <charset val="204"/>
      </rPr>
      <t>видеонаблюдения (ПВН)  (в т.ч системы городского видеонаблюдения)</t>
    </r>
  </si>
  <si>
    <r>
      <t xml:space="preserve">Расценка на настройку коммутатора ( получение,установка, подключение,ПНР)
</t>
    </r>
    <r>
      <rPr>
        <sz val="10"/>
        <rFont val="Consolas"/>
        <family val="3"/>
        <charset val="204"/>
      </rPr>
      <t xml:space="preserve">- включает настройку коммутаторов с РОЕ
- включает работы по установке и подключению коммутатора, получение у МОЛа Заказчика, доставка на место установки и пр.
</t>
    </r>
    <r>
      <rPr>
        <b/>
        <sz val="10"/>
        <color rgb="FF0000FF"/>
        <rFont val="Consolas"/>
        <family val="3"/>
        <charset val="204"/>
      </rPr>
      <t>- не включает стоимость коммутатора</t>
    </r>
  </si>
  <si>
    <r>
      <t xml:space="preserve">Расценка на монтаж рабочего места оператора в/наблюдения (АРМ)
</t>
    </r>
    <r>
      <rPr>
        <sz val="10"/>
        <rFont val="Consolas"/>
        <family val="3"/>
        <charset val="204"/>
      </rPr>
      <t>- включает маркировку имиджевыми и идентификационными наклейками
- включает получение всех необходимых согласований на организацию АРМ, в т.ч. и с собствениками жилых помещений, владельцами зданий,территорий</t>
    </r>
  </si>
  <si>
    <r>
      <t xml:space="preserve">Расценка на сборку,установку/монтаж антенны эфирного ТВ
</t>
    </r>
    <r>
      <rPr>
        <sz val="10"/>
        <rFont val="Consolas"/>
        <family val="3"/>
        <charset val="204"/>
      </rPr>
      <t xml:space="preserve">
- включает получение у МОЛа Заказчика, доставка на место установки и пр.
- включает стоимость всех материалов для установки,монтажа и подключения
- включает проведение всех необходимых коммутаций на сущ. сетях Заказчика (при необходимости)
- включает получение всех необходимых согласований на организацию АРМ, в т.ч. и с собствениками жилых помещений, владельцами зданий,территорий</t>
    </r>
  </si>
  <si>
    <r>
      <t xml:space="preserve">Расценка на демонтаж оборудования
</t>
    </r>
    <r>
      <rPr>
        <sz val="10"/>
        <rFont val="Consolas"/>
        <family val="3"/>
        <charset val="204"/>
      </rPr>
      <t xml:space="preserve">- применяется для демонтажа оборудования уличного размещения, размещенного вне шкафов/стоек, 
</t>
    </r>
    <r>
      <rPr>
        <b/>
        <sz val="10"/>
        <color rgb="FF0000FF"/>
        <rFont val="Consolas"/>
        <family val="3"/>
        <charset val="204"/>
      </rPr>
      <t>- не включает работы по демонтажу телекоммуникационных шкафов/стоек и оборудования из них. Данные работы учитываются по расценкам 6.35-6.37.</t>
    </r>
    <r>
      <rPr>
        <sz val="10"/>
        <rFont val="Consolas"/>
        <family val="3"/>
        <charset val="204"/>
      </rPr>
      <t xml:space="preserve">
- включает оформление разрешительных документов на доступ к месту размещения оборудования, помещению или территории размещения
- включает передачу Заказчику вместе с демонтированным оборудованием набора крепежных и соединительных элементов с предыдущего места установки, включая патч-корды и т.п.
- включает восстановление лакокрасочного покрытия демонтированного оборудования,пострадавшего с момента передачи в демонтаж и до момента передачи Заказчику по акту сдачи-приёмки на новом месте установки или на складе Заказчика
- включает восстановление комплектности крепежных,соединительных и конструктивных элементов демонтированного оборудования,утеря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t>
    </r>
  </si>
  <si>
    <t>% от стоимости  монтажа</t>
  </si>
  <si>
    <t>Расценки на электропитание</t>
  </si>
  <si>
    <r>
      <t xml:space="preserve">Расценка на проведение измерений сопротивления изоляции
</t>
    </r>
    <r>
      <rPr>
        <sz val="10"/>
        <color rgb="FF000000"/>
        <rFont val="Consolas"/>
        <family val="3"/>
        <charset val="204"/>
      </rPr>
      <t xml:space="preserve">- применяется для проведения приёмки на отдельных объектах строительства, при условии что данные работы не учтены основными работами по Объекту
- применяется для проверки линий электропитания в интересах Заказчика, в т.ч. и на линиях сторонних организаций
- выдается отдельным Заказом
</t>
    </r>
    <r>
      <rPr>
        <b/>
        <sz val="10"/>
        <color rgb="FF0000FF"/>
        <rFont val="Consolas"/>
        <family val="3"/>
        <charset val="204"/>
      </rPr>
      <t>- не применяется на строящихся Объектах, где приёмка подразумевает такие измерения</t>
    </r>
  </si>
  <si>
    <r>
      <t xml:space="preserve">Расценка на подключение оборудования к электропитанию
</t>
    </r>
    <r>
      <rPr>
        <sz val="10"/>
        <rFont val="Consolas"/>
        <family val="3"/>
        <charset val="204"/>
      </rPr>
      <t xml:space="preserve">- применяется для подключения оборудования, при условии что данные работы не учтены основными работами по Объекту
- применяется,в т.ч. и на существующих Объектах Заказчика
- применяется, в т.ч. и на Объектах сторонних организаций, где выполнение данных работ инициировано Заказчиком и/или выполняется с интересах Заказчика
- выдается отдельным Заказом
</t>
    </r>
    <r>
      <rPr>
        <b/>
        <sz val="10"/>
        <color rgb="FF0000FF"/>
        <rFont val="Consolas"/>
        <family val="3"/>
        <charset val="204"/>
      </rPr>
      <t>- не применяется совместно с расценками,в которых уже учтена организация подключения к электропитанию (полностью или частично)</t>
    </r>
    <r>
      <rPr>
        <sz val="10"/>
        <rFont val="Consolas"/>
        <family val="3"/>
        <charset val="204"/>
      </rPr>
      <t xml:space="preserve">
- если длина кабеля электропитания превышает </t>
    </r>
    <r>
      <rPr>
        <sz val="10"/>
        <color rgb="FFFF0000"/>
        <rFont val="Consolas"/>
        <family val="3"/>
        <charset val="204"/>
      </rPr>
      <t>20 м</t>
    </r>
    <r>
      <rPr>
        <sz val="10"/>
        <rFont val="Consolas"/>
        <family val="3"/>
        <charset val="204"/>
      </rPr>
      <t xml:space="preserve">, то дополнительная длина кабеля учитывается </t>
    </r>
    <r>
      <rPr>
        <b/>
        <sz val="10"/>
        <color rgb="FF0000FF"/>
        <rFont val="Consolas"/>
        <family val="3"/>
        <charset val="204"/>
      </rPr>
      <t xml:space="preserve">по расценкам 6.115-6.118 </t>
    </r>
    <r>
      <rPr>
        <sz val="10"/>
        <rFont val="Consolas"/>
        <family val="3"/>
        <charset val="204"/>
      </rPr>
      <t xml:space="preserve">
- включает получение всех необходимых согласований, в т.ч. и с собствениками жилых помещений, владельцами зданий,территорий
- включает получение всех разрешительных документов,в т.ч. и ТУ на тех. присоединение/подключение к электроснабжению, включая оформление необходимого комплекта документов в энергоснабжающей организации
- включает маркировку имиджевыми и идентификационными наклейками</t>
    </r>
  </si>
  <si>
    <r>
      <t xml:space="preserve">Расценка на установку и подключение счетчика электроэнергии
</t>
    </r>
    <r>
      <rPr>
        <b/>
        <sz val="10"/>
        <color rgb="FF0000FF"/>
        <rFont val="Consolas"/>
        <family val="3"/>
        <charset val="204"/>
      </rPr>
      <t xml:space="preserve">
- не применяется совместно с расценками, в которых счётчик входит в состав давальческого/покупаемого оборудования</t>
    </r>
    <r>
      <rPr>
        <sz val="10"/>
        <color rgb="FF000000"/>
        <rFont val="Consolas"/>
        <family val="3"/>
        <charset val="204"/>
      </rPr>
      <t xml:space="preserve">
- применяется для случаев отдельной установки счетчика электроэнергии,в т.ч. и на существующих сетях/линиях электропитания оборудования Заказчика
- применяется для случаев отдельной установки на линиях электропитания иных организаций,в случаях когда работы инициированы Заказчиком и выполняются в его интересах, с выдачей отдельного заказа
- включает маркировку имиджевыми и идентификационными наклейками</t>
    </r>
    <r>
      <rPr>
        <b/>
        <sz val="10"/>
        <color rgb="FF000000"/>
        <rFont val="Consolas"/>
        <family val="3"/>
        <charset val="204"/>
      </rPr>
      <t xml:space="preserve">
</t>
    </r>
  </si>
  <si>
    <r>
      <t xml:space="preserve">Расценка на установку и подключение автоматического выключателя
</t>
    </r>
    <r>
      <rPr>
        <sz val="10"/>
        <color rgb="FF000000"/>
        <rFont val="Consolas"/>
        <family val="3"/>
        <charset val="204"/>
      </rPr>
      <t xml:space="preserve">- включает стоимость автоматического выключателя (образец согласовать с Заказчиком до начала работ)
- номинальный ток устанавливаемого автоматического выключателя определяется Заказчиком и указывается в Заказе
</t>
    </r>
    <r>
      <rPr>
        <b/>
        <sz val="10"/>
        <color rgb="FF0000FF"/>
        <rFont val="Consolas"/>
        <family val="3"/>
        <charset val="204"/>
      </rPr>
      <t>-не применяется совместно с расценками, в которых автоматический выключатель входит в состав давальческого/покупаемого оборудования</t>
    </r>
    <r>
      <rPr>
        <sz val="10"/>
        <color rgb="FF000000"/>
        <rFont val="Consolas"/>
        <family val="3"/>
        <charset val="204"/>
      </rPr>
      <t xml:space="preserve">
- применяется для случаев отдельной установки автоматического выключателя,в т.ч. и на существующих сетях/линиях электропитания оборудования Заказчика
- применяется для случаев отдельной установки на линиях электропитания иных организаций,в случаях когда работы инициированы Заказчиком и выполняются в его интересах, с выдачей отдельного заказа
- включает маркировку имиджевыми и идентификационными наклейками</t>
    </r>
  </si>
  <si>
    <r>
      <t xml:space="preserve">Расценка на установку блока абонентских розеток в дх
</t>
    </r>
    <r>
      <rPr>
        <sz val="10"/>
        <rFont val="Consolas"/>
        <family val="3"/>
        <charset val="204"/>
      </rPr>
      <t>- применяется для концевой заделки проложенных линий связи и кабеля эл.питания при строительстве комплексных решений в новостройках
- применяется только по отдельному решению Заказчика,с участием Застройщика,с обязательным согласованием образца с Заказчиком и Застройщиком
- включает любой тип блока (наружний или встроенный)
- включает различные варианты комплектации розеток в блоке (определяется Заказчиком в составе Заказа): 220 В,типа RJ-45/11,ОРА,РПВ,ТВ одиночные разъем F
- включает маркировку имиджевыми и идентификационными наклейками
- включает оформление исполнительной документации по МР</t>
    </r>
  </si>
  <si>
    <r>
      <t>Расценки на прокладку и монтаж силового кабеля (кабеля электропитания) различной ёмкости (</t>
    </r>
    <r>
      <rPr>
        <b/>
        <sz val="10"/>
        <color rgb="FFFF0000"/>
        <rFont val="Consolas"/>
        <family val="3"/>
        <charset val="204"/>
      </rPr>
      <t>до 5 жил</t>
    </r>
    <r>
      <rPr>
        <b/>
        <sz val="10"/>
        <color rgb="FF000000"/>
        <rFont val="Consolas"/>
        <family val="3"/>
        <charset val="204"/>
      </rPr>
      <t>) и сечением</t>
    </r>
    <r>
      <rPr>
        <b/>
        <sz val="10"/>
        <color rgb="FFFF0000"/>
        <rFont val="Consolas"/>
        <family val="3"/>
        <charset val="204"/>
      </rPr>
      <t xml:space="preserve"> до 16 мм²</t>
    </r>
    <r>
      <rPr>
        <b/>
        <sz val="10"/>
        <color rgb="FF000000"/>
        <rFont val="Consolas"/>
        <family val="3"/>
        <charset val="204"/>
      </rPr>
      <t xml:space="preserve"> , различными способами прокладки (для всех проектов,кроме СКС)
</t>
    </r>
    <r>
      <rPr>
        <b/>
        <sz val="10"/>
        <color rgb="FF0000FF"/>
        <rFont val="Consolas"/>
        <family val="3"/>
        <charset val="204"/>
      </rPr>
      <t>- не применяются совместно с расценками, в которых прокладка кабеля электропитания уже учтена соотвествующим составом работ в расценках
- не применяются для случаев, когда требуется прокладка кабеля сверх заложенных в расценках объёмов (для этого применяются расценки 6.115-6.118)</t>
    </r>
    <r>
      <rPr>
        <sz val="10"/>
        <color rgb="FF000000"/>
        <rFont val="Consolas"/>
        <family val="3"/>
        <charset val="204"/>
      </rPr>
      <t xml:space="preserve">
- применяются для случаев отдельной организации подключения электропитания к оборудованияю заказчика, в т.ч. и существующего
- необходимое сечение кабеля определяется на основании расчётов по мощности/току. </t>
    </r>
    <r>
      <rPr>
        <b/>
        <sz val="10"/>
        <color rgb="FF0000FF"/>
        <rFont val="Consolas"/>
        <family val="3"/>
        <charset val="204"/>
      </rPr>
      <t>Применение кабеля с сечением жил ниже расчётного не допускается. Расчёты предоставить и согласовать с Заказчиком на этапе ПИР</t>
    </r>
    <r>
      <rPr>
        <sz val="10"/>
        <color rgb="FF000000"/>
        <rFont val="Consolas"/>
        <family val="3"/>
        <charset val="204"/>
      </rPr>
      <t xml:space="preserve">
- применяется для подключения оборудования сторонних организаций, когда работы выполняются в интересах Заказчика и выданы им в составе отдельного заказа
- включает маркировку имиджевыми и идентификационными наклейками
- включает оформление исполнительной документации по МР</t>
    </r>
  </si>
  <si>
    <r>
      <t xml:space="preserve">Расценки на дополнительную </t>
    </r>
    <r>
      <rPr>
        <b/>
        <sz val="10"/>
        <color rgb="FF0000FF"/>
        <rFont val="Consolas"/>
        <family val="3"/>
        <charset val="204"/>
      </rPr>
      <t>(сверх основных объёмов)</t>
    </r>
    <r>
      <rPr>
        <b/>
        <sz val="10"/>
        <rFont val="Consolas"/>
        <family val="3"/>
        <charset val="204"/>
      </rPr>
      <t xml:space="preserve"> прокладку и монтаж силового кабеля (кабеля электропитания) различной ёмкости </t>
    </r>
    <r>
      <rPr>
        <b/>
        <sz val="10"/>
        <color rgb="FFFF0000"/>
        <rFont val="Consolas"/>
        <family val="3"/>
        <charset val="204"/>
      </rPr>
      <t>(до 5 жил)</t>
    </r>
    <r>
      <rPr>
        <b/>
        <sz val="10"/>
        <rFont val="Consolas"/>
        <family val="3"/>
        <charset val="204"/>
      </rPr>
      <t xml:space="preserve"> и сечением </t>
    </r>
    <r>
      <rPr>
        <b/>
        <sz val="10"/>
        <color rgb="FFFF0000"/>
        <rFont val="Consolas"/>
        <family val="3"/>
        <charset val="204"/>
      </rPr>
      <t>до 16 мм²</t>
    </r>
    <r>
      <rPr>
        <b/>
        <sz val="10"/>
        <rFont val="Consolas"/>
        <family val="3"/>
        <charset val="204"/>
      </rPr>
      <t xml:space="preserve"> , различными способами прокладки
</t>
    </r>
    <r>
      <rPr>
        <sz val="10"/>
        <rFont val="Consolas"/>
        <family val="3"/>
        <charset val="204"/>
      </rPr>
      <t xml:space="preserve">
</t>
    </r>
    <r>
      <rPr>
        <b/>
        <sz val="10"/>
        <color rgb="FF0000FF"/>
        <rFont val="Consolas"/>
        <family val="3"/>
        <charset val="204"/>
      </rPr>
      <t>- применяются исключительно для случаев прокладки дополнительных объёмов кабеля сверх заложенных в указанных расценках</t>
    </r>
    <r>
      <rPr>
        <sz val="10"/>
        <rFont val="Consolas"/>
        <family val="3"/>
        <charset val="204"/>
      </rPr>
      <t xml:space="preserve">
- применяется соотвествующая расценка, отражающая способ прокладки основного кабеля
- прокладываемый по данным расценкам кабель должен соотвествовать по сечению основному кабелю
- при необходимости необходимое сечение кабеля определяется на основании расчётов по мощности/току. Применение кабеля с сечением жил ниже расчётного не допускается. Расчёты предоставить и согласовать с Заказчиком на этапе ПИР
- включает маркировку имиджевыми и идентификационными наклейками
- включает оформление исполнительной документации по МР</t>
    </r>
  </si>
  <si>
    <t>Расценки на беспроводной доступ и смежные работы</t>
  </si>
  <si>
    <r>
      <t xml:space="preserve"> -Поиск площадки-кандидата в соответствии с требованиями Заказчика, обследование на предмет наличия прямой видимости (без переприема) и (или) возможности организации транспортной сети (ВОЛС, аренда)
- Подготовка, по результатам поиска, и передача Заказчику отчетов (по установленной Заказчиком форме) для выбора и утверждения площадки размещения.
 -Проведение предварительных переговоров с собственником (Арендодателем) и представителями третьей стороны. 
 -Представление правоустанавливающих документов (свидетельство о праве собственности, технический паспорт сооружения, изготовленный учреждением технической инвентаризации) на здание (сооружение). После согласования отчета, предоставить подписанный вариант Заказчику. Получение письменного согласия Арендодателя на размещение объекта и оформление договорных отношений.
- Разработка планов размещения антенн и оборудования, трасс прокладки кабелей, схем электроснабжения  оборудования
-Определение условий подключения к сети электропитания и категории надежности электроснабжения 
-Определение расстояния от площадки до других сооружений (БС), точек присутствия (ТП) с наличием активного оборудования РТК (оптическая позиция), подземных и наземных коммуникаций и др. для организации транспортной сети
В стоимость работ входят услуги по поиску площадки и сведения по потенциальным площадкам, отраженные в отчете. Составление плана размещения оборудования Заказчика на выбранном объекте. </t>
    </r>
    <r>
      <rPr>
        <b/>
        <sz val="10"/>
        <color rgb="FF0000FF"/>
        <rFont val="Consolas"/>
        <family val="3"/>
        <charset val="204"/>
      </rPr>
      <t>Разработка рабочего проекта на строительство объекта связи - не предусмотрена.</t>
    </r>
  </si>
  <si>
    <r>
      <t xml:space="preserve"> -Поиск площадки-кандидата в соответствии с требованиями Заказчика, обследование на предмет наличия прямой видимости (без переприема) и (или) возможности организации транспортной сети (ВОЛС, аренда)
- Подготовка, по результатам поиска, и передача Заказчику отчетов (по установленной Заказчиком форме) для выбора и утверждения площадки размещения.
 -Проведение предварительных переговоров с собственником (Арендодателем) и представителями третьей стороны. 
 -Представление правоустанавливающих документов (свидетельство о праве собственности, технический паспорт сооружения, изготовленный учреждением технической инвентаризации) на здание (сооружение). После согласования отчета, предоставить подписанный вариант Заказчику. Получение письменного согласия Арендодателя на размещение объекта и оформление договорных отношений.
- Разработка планов размещения антенн и оборудования, трасс прокладки кабелей, схем электроснабжения  оборудования
-Определение условий подключения к сети электропитания и категории надежности электроснабжения 
-Определение расстояния от площадки до других сооружений (БС), точек присутствия (ТП) с наличием активного оборудования РТК (оптическая позиция), подземных и наземных коммуникаций и др. для организации транспортной сети
В стоимость работ входят услуги по поиску площадки и сведения по потенциальным площадкам, отраженные в отчете. Составление плана размещения оборудования Заказчика на выбранном объекте.</t>
    </r>
    <r>
      <rPr>
        <b/>
        <sz val="10"/>
        <color rgb="FF0000FF"/>
        <rFont val="Consolas"/>
        <family val="3"/>
        <charset val="204"/>
      </rPr>
      <t xml:space="preserve"> Разработка рабочего проекта на строительство объекта связи - не предусмотрена.</t>
    </r>
  </si>
  <si>
    <r>
      <t xml:space="preserve">Расценка на определение ТхВ размещения Объекта беспроводного доступа
</t>
    </r>
    <r>
      <rPr>
        <sz val="10"/>
        <rFont val="Consolas"/>
        <family val="3"/>
        <charset val="204"/>
      </rPr>
      <t xml:space="preserve">- выдается отдельным Заказом
- это обследование потенциальных площадок под размещение сооружений/оборудования Заказчика под определенные условия, спредоставлением набора документов и планов размещения оборудования
- включает получение всех необходимых согласований на организацию трассы проклдаки, в т.ч. и с собствениками жилых помещений, владельцами зданий,территорий
- включает заключение договора с Арендодателем от имени Заказчика
</t>
    </r>
    <r>
      <rPr>
        <b/>
        <sz val="10"/>
        <color rgb="FF0000FF"/>
        <rFont val="Consolas"/>
        <family val="3"/>
        <charset val="204"/>
      </rPr>
      <t>- не применяются совместно с расценками, в которых данные работы уже учтены соотвествующим составом работ в расценках</t>
    </r>
  </si>
  <si>
    <r>
      <t xml:space="preserve">Расценка на предпроектные изыскания на Объект беспроводного доступа
</t>
    </r>
    <r>
      <rPr>
        <sz val="10"/>
        <rFont val="Consolas"/>
        <family val="3"/>
        <charset val="204"/>
      </rPr>
      <t xml:space="preserve">- включает оформление предварительной рабочей документации со сметой и её согласование
- получение ТУ на электроснабжение
- включает получение всех необходимых согласований на площадку строительства, в т.ч. и с собствениками жилых помещений, владельцами зданий,территорий
</t>
    </r>
    <r>
      <rPr>
        <b/>
        <sz val="10"/>
        <color rgb="FF0000FF"/>
        <rFont val="Consolas"/>
        <family val="3"/>
        <charset val="204"/>
      </rPr>
      <t>- не применяются совместно с расценками, в которых данные работы уже учтены соотвествующим составом работ в расценках</t>
    </r>
  </si>
  <si>
    <r>
      <t xml:space="preserve">Расценка на заключение договора аренды на Объект 
</t>
    </r>
    <r>
      <rPr>
        <sz val="10"/>
        <rFont val="Consolas"/>
        <family val="3"/>
        <charset val="204"/>
      </rPr>
      <t xml:space="preserve">
- включает получение всех необходимых согласований на площадку строительства, в т.ч. и с собствениками жилых помещений, владельцами зданий,территорий
</t>
    </r>
    <r>
      <rPr>
        <b/>
        <sz val="10"/>
        <color rgb="FF0000FF"/>
        <rFont val="Consolas"/>
        <family val="3"/>
        <charset val="204"/>
      </rPr>
      <t>- не применяются совместно с расценками, в которых данные работы уже учтены соотвествующим составом работ в расценка</t>
    </r>
    <r>
      <rPr>
        <sz val="10"/>
        <rFont val="Consolas"/>
        <family val="3"/>
        <charset val="204"/>
      </rPr>
      <t>х</t>
    </r>
  </si>
  <si>
    <r>
      <t xml:space="preserve">Расценка на приложение к СЭЗ (Р1) с контролем уровня ЭПРИ
</t>
    </r>
    <r>
      <rPr>
        <b/>
        <sz val="10"/>
        <color rgb="FF0000FF"/>
        <rFont val="Consolas"/>
        <family val="3"/>
        <charset val="204"/>
      </rPr>
      <t>- не применяются совместно с расценками, в которых данные работы уже учтены соотвествующим составом работ в расценках</t>
    </r>
  </si>
  <si>
    <r>
      <t xml:space="preserve">Расценка на заключение СЭЭЗ с разрешением на эксплуатацию РЭС (Р2)
</t>
    </r>
    <r>
      <rPr>
        <b/>
        <sz val="10"/>
        <color rgb="FF0000FF"/>
        <rFont val="Consolas"/>
        <family val="3"/>
        <charset val="204"/>
      </rPr>
      <t xml:space="preserve">
- не применяются совместно с расценками, в которых данные работы уже учтены соотвествующим составом работ в расценках</t>
    </r>
  </si>
  <si>
    <r>
      <t xml:space="preserve">Расценка на заключение ЭПБ, заключение несущей способности труб и др.
</t>
    </r>
    <r>
      <rPr>
        <b/>
        <sz val="10"/>
        <color rgb="FF0000FF"/>
        <rFont val="Consolas"/>
        <family val="3"/>
        <charset val="204"/>
      </rPr>
      <t>- не применяются совместно с расценками, в которых данные работы уже учтены соотвествующим составом работ в расценках</t>
    </r>
  </si>
  <si>
    <r>
      <t xml:space="preserve">Расценка на расчет несущей способности антенной опоры
</t>
    </r>
    <r>
      <rPr>
        <b/>
        <sz val="10"/>
        <color rgb="FF0000FF"/>
        <rFont val="Consolas"/>
        <family val="3"/>
        <charset val="204"/>
      </rPr>
      <t xml:space="preserve">
- не применяются совместно с расценками, в которых данные работы уже учтены соотвествующим составом работ в расценках</t>
    </r>
  </si>
  <si>
    <r>
      <t xml:space="preserve">Расценка на разработку комплекта чертежей РРС
</t>
    </r>
    <r>
      <rPr>
        <b/>
        <sz val="10"/>
        <color rgb="FF0000FF"/>
        <rFont val="Consolas"/>
        <family val="3"/>
        <charset val="204"/>
      </rPr>
      <t>- не применяются совместно с расценками, в которых данные работы уже учтены соотвествующим составом работ в расценках</t>
    </r>
  </si>
  <si>
    <t>Расценки на СМР и ПНР объектов беспроводного доступа</t>
  </si>
  <si>
    <r>
      <t xml:space="preserve">Расценка на СМР антенн РРС  </t>
    </r>
    <r>
      <rPr>
        <b/>
        <sz val="10"/>
        <color rgb="FFFF0000"/>
        <rFont val="Consolas"/>
        <family val="3"/>
        <charset val="204"/>
      </rPr>
      <t>Ø 0,3-0,6 м/ Ø 0,9-1,2 м</t>
    </r>
    <r>
      <rPr>
        <b/>
        <sz val="10"/>
        <rFont val="Consolas"/>
        <family val="3"/>
        <charset val="204"/>
      </rPr>
      <t xml:space="preserve">  </t>
    </r>
    <r>
      <rPr>
        <b/>
        <sz val="10"/>
        <color rgb="FF0000FF"/>
        <rFont val="Consolas"/>
        <family val="3"/>
        <charset val="204"/>
      </rPr>
      <t>(на существующих и проектируемых конструкциях)</t>
    </r>
    <r>
      <rPr>
        <b/>
        <sz val="10"/>
        <rFont val="Consolas"/>
        <family val="3"/>
        <charset val="204"/>
      </rPr>
      <t xml:space="preserve">
</t>
    </r>
    <r>
      <rPr>
        <sz val="10"/>
        <rFont val="Consolas"/>
        <family val="3"/>
        <charset val="204"/>
      </rPr>
      <t>- включает получение всех необходимых согласований на площадку строительства, в т.ч. и с собствениками жилых помещений, владельцами зданий,территорий
- включает оформление исполнительной документации по МР</t>
    </r>
  </si>
  <si>
    <r>
      <t xml:space="preserve">Расценка на ПНР антенны РРС любого диаметра
</t>
    </r>
    <r>
      <rPr>
        <b/>
        <sz val="10"/>
        <color rgb="FF0000FF"/>
        <rFont val="Consolas"/>
        <family val="3"/>
        <charset val="204"/>
      </rPr>
      <t>- не применяется совместно с расценками, в которых данные работы уже учтены соотвествующим составом работ в расценках</t>
    </r>
  </si>
  <si>
    <r>
      <t xml:space="preserve">Расценка на СМР и ПНР станционной части БС БШПД
</t>
    </r>
    <r>
      <rPr>
        <sz val="10"/>
        <rFont val="Consolas"/>
        <family val="3"/>
        <charset val="204"/>
      </rPr>
      <t xml:space="preserve">
- включает получение всех необходимых согласований на площадку строительства, в т.ч. и с собствениками жилых помещений, владельцами зданий,территорий
- включает маркировку имиджевыми и идентификационными наклейками
- включает оформление исполнительной документации по МР</t>
    </r>
  </si>
  <si>
    <r>
      <t xml:space="preserve">Расценка на СМР и ПНР абонентского блока БШПД/3G/4G
</t>
    </r>
    <r>
      <rPr>
        <sz val="10"/>
        <rFont val="Consolas"/>
        <family val="3"/>
        <charset val="204"/>
      </rPr>
      <t xml:space="preserve">
- включает получение всех необходимых согласований на площадку строительства, в т.ч. и с собствениками жилых помещений, владельцами зданий,территорий
- включает маркировку имиджевыми и идентификационными наклейками
- включает оформление исполнительной документации по МР</t>
    </r>
  </si>
  <si>
    <r>
      <t xml:space="preserve">ПИР, ПНР, СМР включая устройство фундамента, установку металлоконструкций, VSAT,  монтаж систем электропитания, заземления,  и включение в транспортную сеть с учетом стоимости материалов </t>
    </r>
    <r>
      <rPr>
        <b/>
        <sz val="10"/>
        <color rgb="FF0000FF"/>
        <rFont val="Consolas"/>
        <family val="3"/>
        <charset val="204"/>
      </rPr>
      <t>(без учета стоимости оборудования).</t>
    </r>
    <r>
      <rPr>
        <sz val="10"/>
        <rFont val="Consolas"/>
        <family val="3"/>
        <charset val="204"/>
      </rPr>
      <t xml:space="preserve"> Оформление разрешительных документов с собственником здания на размещение оборудования.</t>
    </r>
  </si>
  <si>
    <r>
      <t xml:space="preserve">ПИР, ПНР, СМР включая устройство фундамента, установку металлоконструкций, VSAT,  монтаж систем электропитания, заземления,  и включение в транспортную сеть с учетом стоимости материалов </t>
    </r>
    <r>
      <rPr>
        <b/>
        <sz val="10"/>
        <color rgb="FF0000FF"/>
        <rFont val="Consolas"/>
        <family val="3"/>
        <charset val="204"/>
      </rPr>
      <t xml:space="preserve">(без учета стоимости оборудования). </t>
    </r>
    <r>
      <rPr>
        <sz val="10"/>
        <rFont val="Consolas"/>
        <family val="3"/>
        <charset val="204"/>
      </rPr>
      <t>Оформление разрешительных документов с собственником здания на размещение оборудования.</t>
    </r>
  </si>
  <si>
    <r>
      <t xml:space="preserve">Расценка на ПИР,СМР и ПНР VSAT (терминал спутниковой связи)
</t>
    </r>
    <r>
      <rPr>
        <sz val="10"/>
        <rFont val="Consolas"/>
        <family val="3"/>
        <charset val="204"/>
      </rPr>
      <t>- включает получение всех необходимых согласований на площадку строительства, в т.ч. и с собствениками жилых помещений, владельцами зданий,территорий
- включает маркировку имиджевыми и идентификационными наклейками
- включает оформление исполнительной документации по МР</t>
    </r>
  </si>
  <si>
    <r>
      <t xml:space="preserve">Расценка на ПИР,СМР и ПНР уличной точки Wi-Fi УЦН
</t>
    </r>
    <r>
      <rPr>
        <sz val="10"/>
        <rFont val="Consolas"/>
        <family val="3"/>
        <charset val="204"/>
      </rPr>
      <t xml:space="preserve">
- включает получение всех необходимых согласований для работ на площадке строительства, в т.ч. и с собствениками жилых помещений, владельцами зданий,территорий
- включает работы на шкаф энергетиков: ПИР и СМР на комплект, включая стоимость всех материалов, шкафа и кабелей; подключение к сети электроснабжения с использованием счетчика элктроснабжения;присоединение с системе заземления
- включает маркировку имиджевыми и идентификационными наклейками
- включает оформление исполнительной документации по МР</t>
    </r>
  </si>
  <si>
    <r>
      <t xml:space="preserve">Расценка на АМС (антенно-мачтовые сооружения) высотой от 11 до 40 м
</t>
    </r>
    <r>
      <rPr>
        <sz val="10"/>
        <rFont val="Consolas"/>
        <family val="3"/>
        <charset val="204"/>
      </rPr>
      <t xml:space="preserve">- включает получение всех необходимых согласований для работ на площадке строительства, в т.ч. и с собствениками жилых помещений, владельцами зданий,территорий
- включает маркировку имиджевыми и идентификационными наклейками
</t>
    </r>
    <r>
      <rPr>
        <b/>
        <sz val="10"/>
        <color rgb="FF0000FF"/>
        <rFont val="Consolas"/>
        <family val="3"/>
        <charset val="204"/>
      </rPr>
      <t>- не включает прокладку ВОЛС,ВЭС,монтаж оборудования</t>
    </r>
    <r>
      <rPr>
        <sz val="10"/>
        <rFont val="Consolas"/>
        <family val="3"/>
        <charset val="204"/>
      </rPr>
      <t xml:space="preserve">
- включает оформление исполнительной документации по МР</t>
    </r>
  </si>
  <si>
    <r>
      <t xml:space="preserve">Расценка на строительство контура заземления к АМС
</t>
    </r>
    <r>
      <rPr>
        <sz val="10"/>
        <rFont val="Consolas"/>
        <family val="3"/>
        <charset val="204"/>
      </rPr>
      <t>- включает получение всех необходимых согласований для работ на площадке строительства, в т.ч. и с собствениками жилых помещений, владельцами зданий,территорий
- включает оформление исполнительной документации по МР</t>
    </r>
  </si>
  <si>
    <r>
      <t xml:space="preserve">Расценка на демонтаж оборудования БШПД и антенн РРС
</t>
    </r>
    <r>
      <rPr>
        <sz val="10"/>
        <rFont val="Consolas"/>
        <family val="3"/>
        <charset val="204"/>
      </rPr>
      <t xml:space="preserve">- применяется для демонтажа оборудования уличного размещения, размещенного вне шкафов/стоек, 
</t>
    </r>
    <r>
      <rPr>
        <b/>
        <sz val="10"/>
        <color rgb="FF0000FF"/>
        <rFont val="Consolas"/>
        <family val="3"/>
        <charset val="204"/>
      </rPr>
      <t>- не включает работы по демонтажу телекоммуникационных шкафов/стоек и оборудования из них. Данные работы учитываются по расценкам 6.35-6.37.</t>
    </r>
    <r>
      <rPr>
        <sz val="10"/>
        <rFont val="Consolas"/>
        <family val="3"/>
        <charset val="204"/>
      </rPr>
      <t xml:space="preserve">
- включает оформление разрешительных документов на доступ к месту размещения оборудования, помещению или территории размещения
- включает передачу Заказчику вместе с демонтированным оборудованием набора крепежных и соединительных элементов с предыдущего места установки, включая патч-корды и т.п.
- включает восстановление лакокрасочного покрытия демонтированного оборудования,пострадавшего с момента передачи в демонтаж и до момента передачи Заказчику по акту сдачи-приёмки на новом месте установки или на складе Заказчика
- включает восстановление комплектности крепежных,соединительных и конструктивных элементов демонтированного оборудования,утеря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t>
    </r>
  </si>
  <si>
    <r>
      <t xml:space="preserve">Расценка на автовышку (автоподъёмник) для АМС
</t>
    </r>
    <r>
      <rPr>
        <b/>
        <sz val="10"/>
        <color rgb="FF0000FF"/>
        <rFont val="Consolas"/>
        <family val="3"/>
        <charset val="204"/>
      </rPr>
      <t xml:space="preserve">
- не применяется при СМР на АМС и др. работах при строительстве Объекта</t>
    </r>
    <r>
      <rPr>
        <sz val="10"/>
        <rFont val="Consolas"/>
        <family val="3"/>
        <charset val="204"/>
      </rPr>
      <t xml:space="preserve">
- только для необслуживаемых АМС</t>
    </r>
  </si>
  <si>
    <r>
      <t xml:space="preserve">Расценка для привлечения альпиниста (верхолазные работы)
</t>
    </r>
    <r>
      <rPr>
        <b/>
        <sz val="10"/>
        <color rgb="FF0000FF"/>
        <rFont val="Consolas"/>
        <family val="3"/>
        <charset val="204"/>
      </rPr>
      <t>- не применяется при СМР и др. работах при строительстве Объекта подрядным способом</t>
    </r>
    <r>
      <rPr>
        <sz val="10"/>
        <rFont val="Consolas"/>
        <family val="3"/>
        <charset val="204"/>
      </rPr>
      <t xml:space="preserve">
- для применения по отдельному заказу на существующих сетях Заказчика</t>
    </r>
  </si>
  <si>
    <t>Расценки на СКС и пр.</t>
  </si>
  <si>
    <t>Расценки на ПИР СКС</t>
  </si>
  <si>
    <r>
      <t xml:space="preserve">Расценка на ПИР СКС
</t>
    </r>
    <r>
      <rPr>
        <sz val="10"/>
        <rFont val="Consolas"/>
        <family val="3"/>
        <charset val="204"/>
      </rPr>
      <t xml:space="preserve">
- включает оформление комплекта ПСД
- включает получение всех необходимых согласований на ОБъекте, в т.ч. и с собствениками жилых помещений, владельцами зданий,территорий</t>
    </r>
    <r>
      <rPr>
        <b/>
        <sz val="10"/>
        <rFont val="Consolas"/>
        <family val="3"/>
        <charset val="204"/>
      </rPr>
      <t xml:space="preserve">
</t>
    </r>
  </si>
  <si>
    <r>
      <t xml:space="preserve">Расценка на обследование Объекта для строительства СКС
</t>
    </r>
    <r>
      <rPr>
        <sz val="10"/>
        <rFont val="Consolas"/>
        <family val="3"/>
        <charset val="204"/>
      </rPr>
      <t xml:space="preserve">
- включает разработку технического решения по ТЗ Заказчика со стороны Клиента
- включает оформление предварительной рабочей документации со сметой и её согласование</t>
    </r>
  </si>
  <si>
    <t>Расценки на монтаж кабельных трасс (монтаж инфраструктуры) в СКС</t>
  </si>
  <si>
    <r>
      <t xml:space="preserve">Расценка на монтаж кабельных каналов,коробов (ПВХ) типоразмеров до 80х60,от 80х60 до 100х60,более 100х60
</t>
    </r>
    <r>
      <rPr>
        <sz val="10"/>
        <rFont val="Consolas"/>
        <family val="3"/>
        <charset val="204"/>
      </rPr>
      <t xml:space="preserve">- включает согласование с Закзчиком от Клиента мест установки кабельных каналов и коробов
- включает ПВХ кабельные каналы,короба любой конструкции, в т.ч. и закладные типа УНИКОР
- включает обязательное использование комплектующих: заглушки, повороты,углы внутренние,внешние,плоские и Т-образные,соединения на стыки,соединители/переходы из гофротруб прямоугольного сечения,соединительные/распределительные коробки для кабель-канала, рамки ввода в стену. </t>
    </r>
    <r>
      <rPr>
        <b/>
        <sz val="10"/>
        <color rgb="FFFF0000"/>
        <rFont val="Consolas"/>
        <family val="3"/>
        <charset val="204"/>
      </rPr>
      <t>Использование не типовых/несоотвествующих коплектующих по указанные типоразмеры не допускается.</t>
    </r>
    <r>
      <rPr>
        <sz val="10"/>
        <rFont val="Consolas"/>
        <family val="3"/>
        <charset val="204"/>
      </rPr>
      <t xml:space="preserve">
- включает заделку отверстий и восстановление поверхностей и их отделки</t>
    </r>
    <r>
      <rPr>
        <b/>
        <sz val="10"/>
        <rFont val="Consolas"/>
        <family val="3"/>
        <charset val="204"/>
      </rPr>
      <t xml:space="preserve">
</t>
    </r>
  </si>
  <si>
    <r>
      <t xml:space="preserve">Расценка на демонтаж кабельных каналов, коробов ПВХ
</t>
    </r>
    <r>
      <rPr>
        <sz val="10"/>
        <rFont val="Consolas"/>
        <family val="3"/>
        <charset val="204"/>
      </rPr>
      <t>- включает оформление разрешительных документов на доступ к месту размещения демонтируемой  инфраструктуры, помещению или территории размещения
- включает вывоз на утилизацию или сдачу демонтированных материалов представителю Заказчика от Клиента по акту 
- включает вывоз на склад Заказчика и передачу по акту доментированного материала</t>
    </r>
    <r>
      <rPr>
        <b/>
        <sz val="10"/>
        <rFont val="Consolas"/>
        <family val="3"/>
        <charset val="204"/>
      </rPr>
      <t xml:space="preserve">
</t>
    </r>
  </si>
  <si>
    <r>
      <t>Расценка на трубу до</t>
    </r>
    <r>
      <rPr>
        <b/>
        <sz val="10"/>
        <color rgb="FFFF0000"/>
        <rFont val="Consolas"/>
        <family val="3"/>
        <charset val="204"/>
      </rPr>
      <t xml:space="preserve"> 50 мм </t>
    </r>
    <r>
      <rPr>
        <b/>
        <sz val="10"/>
        <rFont val="Consolas"/>
        <family val="3"/>
        <charset val="204"/>
      </rPr>
      <t xml:space="preserve">жёсткая,оцинкованная
</t>
    </r>
    <r>
      <rPr>
        <b/>
        <sz val="10"/>
        <color rgb="FFFF0000"/>
        <rFont val="Consolas"/>
        <family val="3"/>
        <charset val="204"/>
      </rPr>
      <t xml:space="preserve">
</t>
    </r>
    <r>
      <rPr>
        <sz val="10"/>
        <color rgb="FFFF0000"/>
        <rFont val="Consolas"/>
        <family val="3"/>
        <charset val="204"/>
      </rPr>
      <t>- использовать трубы жесткая оцинкованная, внешний ф до 50мм</t>
    </r>
    <r>
      <rPr>
        <sz val="10"/>
        <rFont val="Consolas"/>
        <family val="3"/>
        <charset val="204"/>
      </rPr>
      <t xml:space="preserve">, толщина стенки </t>
    </r>
    <r>
      <rPr>
        <sz val="10"/>
        <color rgb="FFFF0000"/>
        <rFont val="Consolas"/>
        <family val="3"/>
        <charset val="204"/>
      </rPr>
      <t>1,2 мм</t>
    </r>
    <r>
      <rPr>
        <sz val="10"/>
        <rFont val="Consolas"/>
        <family val="3"/>
        <charset val="204"/>
      </rPr>
      <t xml:space="preserve">
- используется для защиты коммуниацмй в местах вероятных повреждений
- включаяет пробивку и заделку отверстий
- включает установку гильз в перекрытиях
- включает соединение трубостоек
- включает восстановление отделки поверхностей в помещении
- включает наклейки на трубостойки
- включает прочие затраты, все необходимые согласования и разрешения;
- включает исполнительную документацию по МР (при необходимости)</t>
    </r>
  </si>
  <si>
    <r>
      <t xml:space="preserve">Расценка на гофру ПВХ диамотром до </t>
    </r>
    <r>
      <rPr>
        <b/>
        <sz val="10"/>
        <color rgb="FFFF0000"/>
        <rFont val="Consolas"/>
        <family val="3"/>
        <charset val="204"/>
      </rPr>
      <t>50 мм</t>
    </r>
    <r>
      <rPr>
        <b/>
        <sz val="10"/>
        <rFont val="Consolas"/>
        <family val="3"/>
        <charset val="204"/>
      </rPr>
      <t xml:space="preserve">
</t>
    </r>
    <r>
      <rPr>
        <sz val="10"/>
        <rFont val="Consolas"/>
        <family val="3"/>
        <charset val="204"/>
      </rPr>
      <t xml:space="preserve">
- использовать гофру (гофротрубку) ПВХ
- включает чистовую заделку отверстий и восстановление поверхностей и их отделки</t>
    </r>
  </si>
  <si>
    <r>
      <t xml:space="preserve">Расценка на демонтаж труб, гофры любых диаметров (из состава слаботочных сетей и стояков)
</t>
    </r>
    <r>
      <rPr>
        <sz val="10"/>
        <rFont val="Consolas"/>
        <family val="3"/>
        <charset val="204"/>
      </rPr>
      <t>- включает оформление разрешительных документов на доступ к месту размещения демонтируемой  инфраструктуры, помещению или территории размещения
- включает вывоз на утилизацию или сдачу демонтированных материалов представителю Заказчика от Клиента по акту 
- включает вывоз на склад Заказчика и передачу по акту демонтированного материала</t>
    </r>
  </si>
  <si>
    <r>
      <t xml:space="preserve">Расценки на кабельные лотки (в т.ч. и металлические,перфорированные) </t>
    </r>
    <r>
      <rPr>
        <b/>
        <sz val="10"/>
        <color rgb="FFFF0000"/>
        <rFont val="Consolas"/>
        <family val="3"/>
        <charset val="204"/>
      </rPr>
      <t>до 200 мм; от 200 до 600 мм</t>
    </r>
    <r>
      <rPr>
        <b/>
        <sz val="10"/>
        <rFont val="Consolas"/>
        <family val="3"/>
        <charset val="204"/>
      </rPr>
      <t xml:space="preserve">
</t>
    </r>
    <r>
      <rPr>
        <b/>
        <sz val="10"/>
        <color rgb="FF0000FF"/>
        <rFont val="Consolas"/>
        <family val="3"/>
        <charset val="204"/>
      </rPr>
      <t>- не путать с коробами и кабельными каналами
- лотки с типоразмером до 200 мм учитываются только по расценке 8.1.9</t>
    </r>
    <r>
      <rPr>
        <sz val="10"/>
        <rFont val="Consolas"/>
        <family val="3"/>
        <charset val="204"/>
      </rPr>
      <t xml:space="preserve">
- включает согласование с Заказчиком от Клиента мест установки лотков
- включает обязательное использование комплектующих: заглушки, повороты, углы внутренние, внешние, плоские и Т-образные, соединения на стыки, соединители/переходы, соединительные/распределительные коробки, рамки ввода в стену. </t>
    </r>
    <r>
      <rPr>
        <b/>
        <sz val="10"/>
        <color rgb="FFFF0000"/>
        <rFont val="Consolas"/>
        <family val="3"/>
        <charset val="204"/>
      </rPr>
      <t>Использование не типовых/несоотвествующих коплектующих по указанные типоразмеры не допускается.</t>
    </r>
    <r>
      <rPr>
        <sz val="10"/>
        <rFont val="Consolas"/>
        <family val="3"/>
        <charset val="204"/>
      </rPr>
      <t xml:space="preserve">
- включает заделку отверстий и восстановление поверхностей и их отделки</t>
    </r>
  </si>
  <si>
    <t>Расценки на прокладку кабелей, в т.ч. и кабелей электропитания</t>
  </si>
  <si>
    <r>
      <t xml:space="preserve">Расценка на прокладку UTP категории 5е ёмкостью до </t>
    </r>
    <r>
      <rPr>
        <b/>
        <sz val="10"/>
        <color rgb="FFFF0000"/>
        <rFont val="Consolas"/>
        <family val="3"/>
        <charset val="204"/>
      </rPr>
      <t>4х2</t>
    </r>
    <r>
      <rPr>
        <b/>
        <sz val="10"/>
        <color theme="1"/>
        <rFont val="Consolas"/>
        <family val="3"/>
        <charset val="204"/>
      </rPr>
      <t xml:space="preserve">
</t>
    </r>
    <r>
      <rPr>
        <b/>
        <sz val="10"/>
        <color rgb="FF0000FF"/>
        <rFont val="Consolas"/>
        <family val="3"/>
        <charset val="204"/>
      </rPr>
      <t>- применяется только для СКС</t>
    </r>
    <r>
      <rPr>
        <sz val="10"/>
        <color theme="1"/>
        <rFont val="Consolas"/>
        <family val="3"/>
        <charset val="204"/>
      </rPr>
      <t xml:space="preserve">
- если иное не оговорено в заказе, прокладывается UTP ёмкостью 4х2
- прокладка и монтаж кабеля в трубе/коробу/кабельному каналу/гофре
- включает концевую заделку/обжимку в оконечных устройствах/коннекторах 
- включает маркировку имиджевыми идентификационными наклейками (при необходимости) в т.ч. и наклейками Зазкчика со стороны Клиента
</t>
    </r>
    <r>
      <rPr>
        <b/>
        <sz val="10"/>
        <color rgb="FF0000FF"/>
        <rFont val="Consolas"/>
        <family val="3"/>
        <charset val="204"/>
      </rPr>
      <t>- не включает стоимость оконечных устройств (коннектора,розетки).Эти работы учитывать оп расценкам 8.3.1., 8.3.3.,8.3.4
- не включает стоимость конструкций. Конструкции учитывать по отдельным расценкам 8.1.2-8.1.4; 8.1.6,8.1.7; 8.1.9,8.1.10
- не применяется на объектах В2С при организации линий для подключения оборудования домофонии / СКУД / видеонаблюдения / телеметрии и т.п.</t>
    </r>
    <r>
      <rPr>
        <sz val="10"/>
        <color theme="1"/>
        <rFont val="Consolas"/>
        <family val="3"/>
        <charset val="204"/>
      </rPr>
      <t xml:space="preserve">
- включает оформление исполнительной документации по МР</t>
    </r>
  </si>
  <si>
    <r>
      <t xml:space="preserve">Расценка на демонтаж UTP (витой пары) из конструкций (коробов,лотков,кабельных каналов,труб,гофротруб и т.д.)
</t>
    </r>
    <r>
      <rPr>
        <sz val="10"/>
        <color theme="1"/>
        <rFont val="Consolas"/>
        <family val="3"/>
        <charset val="204"/>
      </rPr>
      <t xml:space="preserve">
- для двух вариантов демонтажа: для утилизации или для дальнейшего использования.Уточнить у Заказчика до начала работ
</t>
    </r>
    <r>
      <rPr>
        <b/>
        <sz val="10"/>
        <color rgb="FF0000FF"/>
        <rFont val="Consolas"/>
        <family val="3"/>
        <charset val="204"/>
      </rPr>
      <t>- не включает демонтаж оконечных устройств (боксов,коробок,розеток и пр.).Данные работы учитывать по расценке 8.3.2.
-не включает демонтаж конструкций, их демонтаж учитывать по других расценкам (кабельные каналы- 8.1.5, труб / гофры- 8.1.8)</t>
    </r>
    <r>
      <rPr>
        <b/>
        <sz val="10"/>
        <color theme="1"/>
        <rFont val="Consolas"/>
        <family val="3"/>
        <charset val="204"/>
      </rPr>
      <t xml:space="preserve">
</t>
    </r>
  </si>
  <si>
    <r>
      <t xml:space="preserve">Расценки на прокладку,монтаж и трассировку силового кабеля (кабеля электропитания) различной ёмкости </t>
    </r>
    <r>
      <rPr>
        <b/>
        <sz val="10"/>
        <color rgb="FFFF0000"/>
        <rFont val="Consolas"/>
        <family val="3"/>
        <charset val="204"/>
      </rPr>
      <t>(до 5 жил)</t>
    </r>
    <r>
      <rPr>
        <b/>
        <sz val="10"/>
        <color theme="1"/>
        <rFont val="Consolas"/>
        <family val="3"/>
        <charset val="204"/>
      </rPr>
      <t xml:space="preserve"> и сечением </t>
    </r>
    <r>
      <rPr>
        <b/>
        <sz val="10"/>
        <color rgb="FFFF0000"/>
        <rFont val="Consolas"/>
        <family val="3"/>
        <charset val="204"/>
      </rPr>
      <t xml:space="preserve">до 95 </t>
    </r>
    <r>
      <rPr>
        <b/>
        <sz val="10"/>
        <color theme="1"/>
        <rFont val="Consolas"/>
        <family val="3"/>
        <charset val="204"/>
      </rPr>
      <t xml:space="preserve">мм² , в конструкциях (лотках,коробах,кабельных каналах,трубах,гофрах, металлорукавах и т.д.)
</t>
    </r>
    <r>
      <rPr>
        <b/>
        <sz val="10"/>
        <color rgb="FF0000FF"/>
        <rFont val="Consolas"/>
        <family val="3"/>
        <charset val="204"/>
      </rPr>
      <t>- применяется только для СКС</t>
    </r>
    <r>
      <rPr>
        <sz val="10"/>
        <color theme="1"/>
        <rFont val="Consolas"/>
        <family val="3"/>
        <charset val="204"/>
      </rPr>
      <t xml:space="preserve">
- не применяются для случаев, когда требуется прокладка кабеля сверх заложенных в расценках объёмов (для этого применяются</t>
    </r>
    <r>
      <rPr>
        <b/>
        <sz val="10"/>
        <color rgb="FF0000FF"/>
        <rFont val="Consolas"/>
        <family val="3"/>
        <charset val="204"/>
      </rPr>
      <t xml:space="preserve"> расценки 6.115-6.118)</t>
    </r>
    <r>
      <rPr>
        <sz val="10"/>
        <color theme="1"/>
        <rFont val="Consolas"/>
        <family val="3"/>
        <charset val="204"/>
      </rPr>
      <t xml:space="preserve">
- применяются для случаев отдельной организации подключения электропитания к оборудованияю заказчика, в т.ч. и существующего
- необходимое сечение кабеля определяется Закзчиком в составе выданного заказа или на основании расчётов по мощности/току. Применение кабеля с сечением жил ниже расчётного не допускается. Расчёты предоставить и согласовать с Заказчиком на этапе ПИР
- применяется для подключения оборудования сторонних организаций, расположенного на территории Объекта СКС, когда работы выполняются в интересах Заказчика и выданы им в составе отдельного заказа
- включает маркировку имиджевыми и идентификационными наклейками
- включает оформление исполнительной документации по МР
</t>
    </r>
    <r>
      <rPr>
        <b/>
        <sz val="10"/>
        <color rgb="FF0000FF"/>
        <rFont val="Consolas"/>
        <family val="3"/>
        <charset val="204"/>
      </rPr>
      <t>- не включает стоимость конструкций. Конструкции учитывать по отдельным расценкам 8.1.2-8.1.4; 8.1.6,8.1.7; 8.1.9,8.1.10</t>
    </r>
  </si>
  <si>
    <r>
      <t xml:space="preserve">Расценка на демонтаж силового кабеля (провода) из конструкций (коробов,лотков,кабельных каналов,труб,гофротруб и т.д.)
</t>
    </r>
    <r>
      <rPr>
        <sz val="10"/>
        <color theme="1"/>
        <rFont val="Consolas"/>
        <family val="3"/>
        <charset val="204"/>
      </rPr>
      <t xml:space="preserve">- для двух вариантов демонтажа: для утилизации или для дальнейшего использования.Уточнить у Заказчика до начала работ
- включает демонтаж оконечных устройств (автоматов,коробок,розеток и пр.) со сдачей Заказчику (при необходимости, уточнить у Заказчика)
</t>
    </r>
    <r>
      <rPr>
        <b/>
        <sz val="10"/>
        <color rgb="FF0000FF"/>
        <rFont val="Consolas"/>
        <family val="3"/>
        <charset val="204"/>
      </rPr>
      <t>-не включает демонтаж конструкций, их демонтаж учитывать по других расценкам (кабельные каналы- 8.1.5, труб / гофры- 8.1.8)</t>
    </r>
  </si>
  <si>
    <r>
      <t xml:space="preserve">Расценка на штрабление стен и заделку борозды (штрабы)
</t>
    </r>
    <r>
      <rPr>
        <b/>
        <sz val="10"/>
        <color rgb="FF0000FF"/>
        <rFont val="Consolas"/>
        <family val="3"/>
        <charset val="204"/>
      </rPr>
      <t>- не применяются совместно с расценками, в которых данные работы  уже учтены соотвествующим составом работ в расценках</t>
    </r>
    <r>
      <rPr>
        <sz val="10"/>
        <color theme="1"/>
        <rFont val="Consolas"/>
        <family val="3"/>
        <charset val="204"/>
      </rPr>
      <t xml:space="preserve">
- применяются для любых поверхностей
- размер/глубина штрабы (борозды) определяется закладываемыми коммуникациями (указывается в составе Заказа) или отдельно указывается в Заказе на усмотрение Заказчика
- включает чистовую заделку, с восстановлением отделки поверхности, в т.ч. и окраску под цвет основной поверхности с подбором совпадающего отттенка (при необходимости)</t>
    </r>
    <r>
      <rPr>
        <b/>
        <sz val="10"/>
        <color theme="1"/>
        <rFont val="Consolas"/>
        <family val="3"/>
        <charset val="204"/>
      </rPr>
      <t xml:space="preserve">
</t>
    </r>
  </si>
  <si>
    <r>
      <t xml:space="preserve">Расценка на АЛ из UTP </t>
    </r>
    <r>
      <rPr>
        <b/>
        <sz val="10"/>
        <color rgb="FFFF0000"/>
        <rFont val="Consolas"/>
        <family val="3"/>
        <charset val="204"/>
      </rPr>
      <t>4х2</t>
    </r>
    <r>
      <rPr>
        <b/>
        <sz val="10"/>
        <color theme="1"/>
        <rFont val="Consolas"/>
        <family val="3"/>
        <charset val="204"/>
      </rPr>
      <t xml:space="preserve"> открытым способом, в т.ч. и по штрабе
</t>
    </r>
    <r>
      <rPr>
        <sz val="10"/>
        <color theme="1"/>
        <rFont val="Consolas"/>
        <family val="3"/>
        <charset val="204"/>
      </rPr>
      <t xml:space="preserve">- прокладка и монтаж кабеля по стене,потолку или внутри подготовленной штрабы/борозды
- не включает стоимость штрабления стен и заделки штрабы/борозды. Эти работы учитывать </t>
    </r>
    <r>
      <rPr>
        <b/>
        <sz val="10"/>
        <color rgb="FF0000FF"/>
        <rFont val="Consolas"/>
        <family val="3"/>
        <charset val="204"/>
      </rPr>
      <t>по расценке 8.2.11</t>
    </r>
    <r>
      <rPr>
        <sz val="10"/>
        <color theme="1"/>
        <rFont val="Consolas"/>
        <family val="3"/>
        <charset val="204"/>
      </rPr>
      <t xml:space="preserve">
- размещение с креплением открытым способом на потолке подразумевает использование обязательных крепёжных элементов - пластиковых монтажных площадок
- включает концевую заделку/обжимку в оконечных устройствах/коннекторах  
- включает маркировку имиджевыми идентификационными наклейками
- включает оформление исполнительной документации по МР
</t>
    </r>
    <r>
      <rPr>
        <b/>
        <sz val="10"/>
        <color rgb="FF0000FF"/>
        <rFont val="Consolas"/>
        <family val="3"/>
        <charset val="204"/>
      </rPr>
      <t>- не включает стоимость оконечных устройств (коннектора,розетки).Эти работы учитывать оп расценкам 8.3.1., 8.3.3.,8.3.4
- Не применяется на объектах при организации линий для подключения оборудования домофонии / СКУД / видеонаблюдения / телеметрии и т.п.</t>
    </r>
  </si>
  <si>
    <r>
      <t xml:space="preserve">Расценки на прокладку,монтаж и трассировку силового кабеля (кабеля электропитания) различной ёмкости </t>
    </r>
    <r>
      <rPr>
        <b/>
        <sz val="10"/>
        <color rgb="FFFF0000"/>
        <rFont val="Consolas"/>
        <family val="3"/>
        <charset val="204"/>
      </rPr>
      <t>(до 5 жил)</t>
    </r>
    <r>
      <rPr>
        <b/>
        <sz val="10"/>
        <color theme="1"/>
        <rFont val="Consolas"/>
        <family val="3"/>
        <charset val="204"/>
      </rPr>
      <t xml:space="preserve"> и сечением </t>
    </r>
    <r>
      <rPr>
        <b/>
        <sz val="10"/>
        <color rgb="FFFF0000"/>
        <rFont val="Consolas"/>
        <family val="3"/>
        <charset val="204"/>
      </rPr>
      <t>до 95 мм²</t>
    </r>
    <r>
      <rPr>
        <b/>
        <sz val="10"/>
        <color theme="1"/>
        <rFont val="Consolas"/>
        <family val="3"/>
        <charset val="204"/>
      </rPr>
      <t xml:space="preserve"> , открытым способом
</t>
    </r>
    <r>
      <rPr>
        <sz val="10"/>
        <color theme="1"/>
        <rFont val="Consolas"/>
        <family val="3"/>
        <charset val="204"/>
      </rPr>
      <t xml:space="preserve">- применяется только для СКС
- не применяются для случаев, когда требуется прокладка кабеля сверх заложенных в расценках объёмов (для этого применяются </t>
    </r>
    <r>
      <rPr>
        <b/>
        <sz val="10"/>
        <color rgb="FF0000FF"/>
        <rFont val="Consolas"/>
        <family val="3"/>
        <charset val="204"/>
      </rPr>
      <t>расценки 6.115-6.118</t>
    </r>
    <r>
      <rPr>
        <sz val="10"/>
        <color theme="1"/>
        <rFont val="Consolas"/>
        <family val="3"/>
        <charset val="204"/>
      </rPr>
      <t xml:space="preserve">)
- применяются для случаев отдельной организации подключения электропитания к оборудованияю заказчика, в т.ч. и существующего
- необходимое сечение кабеля определяется Заказчиком в составе выданного заказа или на основании расчётов по мощности/току. Применение кабеля с сечением жил ниже расчётного не допускается. Расчёты предоставить и согласовать с Заказчиком на этапе ПИР
- применяется для подключения оборудования сторонних организаций, расположенного на территории Объекта СКС, когда работы выполняются в интересах Заказчика и выданы им в составе отдельного заказа
- включает маркировку имиджевыми и идентификационными наклейками
- включает оформление исполнительной документации по МР
- не включает стоимость штрабления стен и заделки штрабы/борозды. Эти работы учитывать по </t>
    </r>
    <r>
      <rPr>
        <b/>
        <sz val="10"/>
        <color rgb="FF0000FF"/>
        <rFont val="Consolas"/>
        <family val="3"/>
        <charset val="204"/>
      </rPr>
      <t>расценке 8.2.11</t>
    </r>
  </si>
  <si>
    <r>
      <t xml:space="preserve">Расценка на строительство сетей на коаксиальных кабелях по существующим конструкциям в проектах СКС
</t>
    </r>
    <r>
      <rPr>
        <b/>
        <sz val="10"/>
        <color rgb="FF0000FF"/>
        <rFont val="Consolas"/>
        <family val="3"/>
        <charset val="204"/>
      </rPr>
      <t>- применяется только для СКС</t>
    </r>
    <r>
      <rPr>
        <b/>
        <sz val="10"/>
        <color theme="1"/>
        <rFont val="Consolas"/>
        <family val="3"/>
        <charset val="204"/>
      </rPr>
      <t xml:space="preserve">
- включая стоимость коаксиального кабеля любого типа
- включает прокладку коаксиального кабеля под отдельные тех. решения , в т.ч. и ЛВС по отдельному заказу 
- включает монтаж АК, делителей, ответвителей, нагрузок, шнуров (при необходимости)
- включает оформление разрешительных документов (включая все согласования) необходимых при строительстве ДРС КТВ, ЛВС
- включает оформление исполнительной документации по МР
</t>
    </r>
    <r>
      <rPr>
        <b/>
        <sz val="10"/>
        <color rgb="FF0000FF"/>
        <rFont val="Consolas"/>
        <family val="3"/>
        <charset val="204"/>
      </rPr>
      <t>- не включает  стоимость оптического приемника КТВ,роутеров,маршрутизаторов,видеорегистраторов и другого активного оборудования
- не включает стоимость конструкций. Конструкции учитывать по отдельным расценкам 8.1.2-8.1.4; 8.1.6,8.1.7; 8.1.9,8.1.10
- не применяется для строительства АГС в жилых домах
- не применяется совместно с расценкой 6.7</t>
    </r>
    <r>
      <rPr>
        <b/>
        <sz val="10"/>
        <color theme="1"/>
        <rFont val="Consolas"/>
        <family val="3"/>
        <charset val="204"/>
      </rPr>
      <t xml:space="preserve">
</t>
    </r>
  </si>
  <si>
    <r>
      <t xml:space="preserve">Расценка на установку абонентских розеток открытого или скрытого типа, в т.ч. на конструкциях
</t>
    </r>
    <r>
      <rPr>
        <sz val="10"/>
        <rFont val="Consolas"/>
        <family val="3"/>
        <charset val="204"/>
      </rPr>
      <t xml:space="preserve">
</t>
    </r>
    <r>
      <rPr>
        <b/>
        <sz val="10"/>
        <color rgb="FF0000FF"/>
        <rFont val="Consolas"/>
        <family val="3"/>
        <charset val="204"/>
      </rPr>
      <t>- применяется только для СКС</t>
    </r>
    <r>
      <rPr>
        <sz val="10"/>
        <rFont val="Consolas"/>
        <family val="3"/>
        <charset val="204"/>
      </rPr>
      <t xml:space="preserve">
- применяется для концевой заделки существующих линий сетей СКС
</t>
    </r>
    <r>
      <rPr>
        <b/>
        <sz val="10"/>
        <color rgb="FF0000FF"/>
        <rFont val="Consolas"/>
        <family val="3"/>
        <charset val="204"/>
      </rPr>
      <t>- не применяется для вновь прокладываемых абонентских линий 
- не применяется совместно с расценками на АГС (6.38-6.55) и 6.58,6.59</t>
    </r>
    <r>
      <rPr>
        <sz val="10"/>
        <rFont val="Consolas"/>
        <family val="3"/>
        <charset val="204"/>
      </rPr>
      <t xml:space="preserve">
- включает монтаж наружной/внутренней абонентской розетки (при необходимости)
- включает устройство, при необходимости, отверстия в стене с  заделкой (с установкой гильз) для перекладывания подключаемых существующих абонентских линий,  устройство гнезд для подрозетников 
- включает восстановление отделки/покраски поверхностей после установки
- включает в себя розетки типа RJ-45/11,ТВ одиночные разъем F.Тип розетки определяется Заказчиком в составе заказа
- подлежит обязательному согласованию с Заказчиком БИС и Закзчиком со стороны Клиента на этапе ПИР с предоставлением образцов
- включает маркировку имиджевыми, идентификационными наклейками (при необходимости)
</t>
    </r>
    <r>
      <rPr>
        <b/>
        <sz val="10"/>
        <color rgb="FF0000FF"/>
        <rFont val="Consolas"/>
        <family val="3"/>
        <charset val="204"/>
      </rPr>
      <t>- не включает стоимость кабеля</t>
    </r>
  </si>
  <si>
    <r>
      <t xml:space="preserve">Расценка на демонтаж розеток, в т.ч. и из конструкций (коробов,лотков,кабельных каналов,труб,гофротруб и т.д.) для сетей СКС
</t>
    </r>
    <r>
      <rPr>
        <sz val="10"/>
        <rFont val="Consolas"/>
        <family val="3"/>
        <charset val="204"/>
      </rPr>
      <t xml:space="preserve">- включает демонтаж розеток с любых поверхностей,конструкций
- для двух вариантов демонтажа: для утилизации или для дальнейшего использования.Уточнить у Заказчика до начала работ
</t>
    </r>
    <r>
      <rPr>
        <b/>
        <sz val="10"/>
        <color rgb="FF0000FF"/>
        <rFont val="Consolas"/>
        <family val="3"/>
        <charset val="204"/>
      </rPr>
      <t>-не включает демонтаж конструкций, их демонтаж учитывать по других расценкам (кабельные каналы- 8.1.5, труб / гофры- 8.1.8)</t>
    </r>
    <r>
      <rPr>
        <b/>
        <sz val="10"/>
        <rFont val="Consolas"/>
        <family val="3"/>
        <charset val="204"/>
      </rPr>
      <t xml:space="preserve">
</t>
    </r>
  </si>
  <si>
    <r>
      <t xml:space="preserve">Расценки на обжим коннекторов RJ11 (телефония),RJ 45 (сетевой)
</t>
    </r>
    <r>
      <rPr>
        <sz val="10"/>
        <rFont val="Consolas"/>
        <family val="3"/>
        <charset val="204"/>
      </rPr>
      <t>- применяется для обжима проложенных линий телефонии и ЛВС в сетях СКС, которые предназначены для включения в ранее установленные/существующие розетки или устройства Заказчика со стороны Клиента</t>
    </r>
    <r>
      <rPr>
        <b/>
        <sz val="10"/>
        <rFont val="Consolas"/>
        <family val="3"/>
        <charset val="204"/>
      </rPr>
      <t xml:space="preserve">
</t>
    </r>
  </si>
  <si>
    <r>
      <t xml:space="preserve">Расценки на обжим коннекторов BNC (видеонаблюдение и пр.)
</t>
    </r>
    <r>
      <rPr>
        <sz val="10"/>
        <rFont val="Consolas"/>
        <family val="3"/>
        <charset val="204"/>
      </rPr>
      <t xml:space="preserve">
- применяется для обжима проложенных линий тв/наблюдения и ЛВС в сетях СКС, которые предназначены для включения в ранее установленные/существующие розетки или устройства Заказчика со стороны Клиента</t>
    </r>
    <r>
      <rPr>
        <b/>
        <sz val="10"/>
        <rFont val="Consolas"/>
        <family val="3"/>
        <charset val="204"/>
      </rPr>
      <t xml:space="preserve">
</t>
    </r>
  </si>
  <si>
    <r>
      <t xml:space="preserve">Расценка на установку автоматического выключателя </t>
    </r>
    <r>
      <rPr>
        <b/>
        <sz val="10"/>
        <color rgb="FFFF0000"/>
        <rFont val="Consolas"/>
        <family val="3"/>
        <charset val="204"/>
      </rPr>
      <t>до 63 А</t>
    </r>
    <r>
      <rPr>
        <b/>
        <sz val="10"/>
        <rFont val="Consolas"/>
        <family val="3"/>
        <charset val="204"/>
      </rPr>
      <t xml:space="preserve"> включительно (на объектах СКС)
</t>
    </r>
    <r>
      <rPr>
        <sz val="10"/>
        <rFont val="Consolas"/>
        <family val="3"/>
        <charset val="204"/>
      </rPr>
      <t>- включает стоимости автоматического выключателя и всех расходных и монтажных материалов</t>
    </r>
  </si>
  <si>
    <r>
      <t xml:space="preserve">Установка и подключение автоматического  выключателя (220В,50Гц), с номинальным током </t>
    </r>
    <r>
      <rPr>
        <sz val="10"/>
        <color rgb="FFFF0000"/>
        <rFont val="Consolas"/>
        <family val="3"/>
        <charset val="204"/>
      </rPr>
      <t>до 63 А</t>
    </r>
    <r>
      <rPr>
        <sz val="10"/>
        <color theme="1"/>
        <rFont val="Consolas"/>
        <family val="3"/>
        <charset val="204"/>
      </rPr>
      <t xml:space="preserve"> во вводно-распределительном устройстве здания, включая стоимость основных и крепежных материалов.</t>
    </r>
  </si>
  <si>
    <r>
      <t xml:space="preserve">Расценка на установку автоматического выключателя </t>
    </r>
    <r>
      <rPr>
        <b/>
        <sz val="10"/>
        <color rgb="FFFF0000"/>
        <rFont val="Consolas"/>
        <family val="3"/>
        <charset val="204"/>
      </rPr>
      <t>до 25А,от 25А до 63А</t>
    </r>
    <r>
      <rPr>
        <b/>
        <sz val="10"/>
        <rFont val="Consolas"/>
        <family val="3"/>
        <charset val="204"/>
      </rPr>
      <t xml:space="preserve"> включительно
</t>
    </r>
    <r>
      <rPr>
        <sz val="10"/>
        <rFont val="Consolas"/>
        <family val="3"/>
        <charset val="204"/>
      </rPr>
      <t xml:space="preserve">
- включает стоимости автоматического выключателя и всех расходных и монтажных материалов</t>
    </r>
  </si>
  <si>
    <r>
      <t xml:space="preserve">Расценка на установку выключателя нагрузки </t>
    </r>
    <r>
      <rPr>
        <b/>
        <sz val="10"/>
        <color rgb="FFFF0000"/>
        <rFont val="Consolas"/>
        <family val="3"/>
        <charset val="204"/>
      </rPr>
      <t>до 40А,более 40А</t>
    </r>
    <r>
      <rPr>
        <b/>
        <sz val="10"/>
        <rFont val="Consolas"/>
        <family val="3"/>
        <charset val="204"/>
      </rPr>
      <t xml:space="preserve">
</t>
    </r>
    <r>
      <rPr>
        <sz val="10"/>
        <rFont val="Consolas"/>
        <family val="3"/>
        <charset val="204"/>
      </rPr>
      <t>- включает стоимости выключателя нагрузки и всех расходных и монтажных материалов
- не путать автоматический выключатель и выключатель нагрузк</t>
    </r>
    <r>
      <rPr>
        <b/>
        <sz val="10"/>
        <rFont val="Consolas"/>
        <family val="3"/>
        <charset val="204"/>
      </rPr>
      <t>и</t>
    </r>
  </si>
  <si>
    <r>
      <t xml:space="preserve">Монтаж боксов(щитов) распределительных электрических до 24 модулей, более 24 модулей
</t>
    </r>
    <r>
      <rPr>
        <b/>
        <sz val="10"/>
        <color rgb="FF0000FF"/>
        <rFont val="Consolas"/>
        <family val="3"/>
        <charset val="204"/>
      </rPr>
      <t xml:space="preserve">- применяется, в том числе, для установки слаботочного щита/межэтажного распределительного щита (шкафа, бокса, ниши) при строительстве систем слаботочных каналов в жилых домах, при этом стоимость учитывается следующим образом (условие не применимо на объектах СКС):
</t>
    </r>
    <r>
      <rPr>
        <sz val="10"/>
        <color rgb="FF0000FF"/>
        <rFont val="Consolas"/>
        <family val="3"/>
        <charset val="204"/>
      </rPr>
      <t xml:space="preserve">  1. Если размер необходимого щита/шкафа/бокса/ниши в мм менее,чем 350х300х100 (ВхШхГ),то применяется расценка 8.4.6 без применения дополнительных коэффициентов
  2. Если размер необходимого щита/шкафа/бокса/ниши в мм больше,чем 350х300х100 (ВхШхГ),то применяется расценка 8.4.7 с применением дополнительного коэффициента к расценке </t>
    </r>
    <r>
      <rPr>
        <sz val="10"/>
        <color rgb="FFFF0000"/>
        <rFont val="Consolas"/>
        <family val="3"/>
        <charset val="204"/>
      </rPr>
      <t>к=0,7</t>
    </r>
    <r>
      <rPr>
        <sz val="10"/>
        <color rgb="FF0000FF"/>
        <rFont val="Consolas"/>
        <family val="3"/>
        <charset val="204"/>
      </rPr>
      <t xml:space="preserve">
  3. Шкаф должен иметь внутреннюю оснастку для крепления оконечных устройств (рам/опор с плинтами, патч-панелей, ТАН, сплиттеров и др.)</t>
    </r>
    <r>
      <rPr>
        <sz val="10"/>
        <rFont val="Consolas"/>
        <family val="3"/>
        <charset val="204"/>
      </rPr>
      <t xml:space="preserve">
- монтаж шкафа (вид,тип согласовать с Заказчиком отдельно,с обязательным предоставлением образца), комплектного к размещению автоматическими выключателями (крепежные конструкции/дин-рейки)
- включает стоимость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 включает монтаж щита на лестничных площадках, этажах, помещениях и т.д.; устройство заземления щита и внутренних элементов
- включает навесные и внутренние/врезные шкафы
- включает имиджевые наклейки и пр. элементы по комплектации в ТЗ
- восстановление целостности и отделки поверхностей после монтажа щита и заземления
- включает оформление разрешительных документов на размещение
- включает справки о выполнении ТУ от собственников инфраструктуры (при необходимости)
- оформление документов, подтверждающих право собственности Заказчика на смонтированное оборудование у Застройщика или УК
</t>
    </r>
    <r>
      <rPr>
        <b/>
        <sz val="10"/>
        <color rgb="FF0000FF"/>
        <rFont val="Consolas"/>
        <family val="3"/>
        <charset val="204"/>
      </rPr>
      <t>- не включает прокладку и стоимость силовых кабелей</t>
    </r>
    <r>
      <rPr>
        <b/>
        <sz val="10"/>
        <rFont val="Consolas"/>
        <family val="3"/>
        <charset val="204"/>
      </rPr>
      <t xml:space="preserve">
</t>
    </r>
  </si>
  <si>
    <r>
      <t xml:space="preserve">Расценка на установку электрических розеток/электричеких выключателей открытого или скрытого типа, в т.ч. на конструкциях
</t>
    </r>
    <r>
      <rPr>
        <sz val="10"/>
        <color rgb="FF0000FF"/>
        <rFont val="Consolas"/>
        <family val="3"/>
        <charset val="204"/>
      </rPr>
      <t xml:space="preserve">
</t>
    </r>
    <r>
      <rPr>
        <b/>
        <sz val="10"/>
        <color rgb="FF0000FF"/>
        <rFont val="Consolas"/>
        <family val="3"/>
        <charset val="204"/>
      </rPr>
      <t>- применяется только для СКС</t>
    </r>
    <r>
      <rPr>
        <sz val="10"/>
        <rFont val="Consolas"/>
        <family val="3"/>
        <charset val="204"/>
      </rPr>
      <t xml:space="preserve">
- включает розетки в т.ч. и  с заземляющим контактом (евростандарт).Вид, тип согласовать с Закзачиком отдельно с предоставлением образцов
- применяется для концевой заделки линий элктропитания и освещения на Объекте СКС
- включает монтаж наружной/внутренней электророзетки розетки (при необходимости)
- включает устройство, при необходимости, отверстия в стене с  заделкой (с установкой гильз) для перекладывания подключаемых существующих электричеких линий, устройство гнезд для подрозетников 
- включает восстановление отделки/покраски поверхностей после установки (при необходимости)
- включает маркировку имиджевыми, идентификационными наклейками (при необходимости)
</t>
    </r>
    <r>
      <rPr>
        <b/>
        <sz val="10"/>
        <color rgb="FF0000FF"/>
        <rFont val="Consolas"/>
        <family val="3"/>
        <charset val="204"/>
      </rPr>
      <t>- не включает стоимость кабеля</t>
    </r>
  </si>
  <si>
    <r>
      <t xml:space="preserve">Расценка на демонтаж электророзеток/электровыключателей, в т.ч. и из конструкций (коробов,лотков,кабельных каналов,труб,гофротруб и т.д.) для сетей СКС
</t>
    </r>
    <r>
      <rPr>
        <sz val="10"/>
        <rFont val="Consolas"/>
        <family val="3"/>
        <charset val="204"/>
      </rPr>
      <t xml:space="preserve">- включает демонтаж розеток/выключателей с любых поверхностей,конструкций
- для двух вариантов демонтажа: для утилизации или для дальнейшего использования.Уточнить у Заказчика до начала работ
</t>
    </r>
    <r>
      <rPr>
        <b/>
        <sz val="10"/>
        <color rgb="FF0000FF"/>
        <rFont val="Consolas"/>
        <family val="3"/>
        <charset val="204"/>
      </rPr>
      <t>-не включает демонтаж конструкций, их демонтаж учитывать по других расценкам (кабельные каналы- 8.1.5, труб / гофры- 8.1.8)</t>
    </r>
  </si>
  <si>
    <r>
      <t xml:space="preserve">Расценка на монтаж разветвительной коробки (монтажной ,распаечной)
</t>
    </r>
    <r>
      <rPr>
        <sz val="10"/>
        <rFont val="Consolas"/>
        <family val="3"/>
        <charset val="204"/>
      </rPr>
      <t xml:space="preserve">
</t>
    </r>
    <r>
      <rPr>
        <b/>
        <sz val="10"/>
        <color rgb="FF0000FF"/>
        <rFont val="Consolas"/>
        <family val="3"/>
        <charset val="204"/>
      </rPr>
      <t>- применяется только для электролиний на объектах СКС</t>
    </r>
    <r>
      <rPr>
        <sz val="10"/>
        <rFont val="Consolas"/>
        <family val="3"/>
        <charset val="204"/>
      </rPr>
      <t xml:space="preserve">
- включает все работы по установке,креплению и расключению разветвительной коробки открытого или скрытого типа
- включает восстановление отделки/покраски поверхностей после установки
- включает получение всех необходимых согласований, в т.ч. и с собственниками жилых помещений, владельцами зданий,территорий
- количество вводов согласовать на этапе ПИР с Заказчиком
- включает оформление исполнительной документации по МР</t>
    </r>
  </si>
  <si>
    <r>
      <t xml:space="preserve">Расценка на монтаж электрического счётчика (учёта электроэнергии)
</t>
    </r>
    <r>
      <rPr>
        <sz val="10"/>
        <rFont val="Consolas"/>
        <family val="3"/>
        <charset val="204"/>
      </rPr>
      <t>- включает стоимости счетчика (класс точности не менее 1.0) и всех расходных и монтажных материалов)
- включает справки о выполнении ТУ от собственников инфраструктуры (при необходимости)
- вид,тип счётчика согласовать отдельно с Заказчиком с предоставлением образца до начала работ</t>
    </r>
  </si>
  <si>
    <t>1-я ед. оборудования</t>
  </si>
  <si>
    <r>
      <t xml:space="preserve">Расценка на монтаж шины заземления ГЗШ (главная шина заземления)
</t>
    </r>
    <r>
      <rPr>
        <sz val="10"/>
        <rFont val="Consolas"/>
        <family val="3"/>
        <charset val="204"/>
      </rPr>
      <t xml:space="preserve">
</t>
    </r>
    <r>
      <rPr>
        <b/>
        <sz val="10"/>
        <color rgb="FF0000FF"/>
        <rFont val="Consolas"/>
        <family val="3"/>
        <charset val="204"/>
      </rPr>
      <t>- применяется только на объектах СКС</t>
    </r>
    <r>
      <rPr>
        <sz val="10"/>
        <rFont val="Consolas"/>
        <family val="3"/>
        <charset val="204"/>
      </rPr>
      <t xml:space="preserve">
- включает стоимость самой шины,все подключения</t>
    </r>
  </si>
  <si>
    <t>Монтаж оборудования и пр. на объектах СКС</t>
  </si>
  <si>
    <r>
      <t xml:space="preserve">Расценка на монтаж патч-панели/кросс-панели на </t>
    </r>
    <r>
      <rPr>
        <b/>
        <sz val="10"/>
        <color rgb="FFFF0000"/>
        <rFont val="Consolas"/>
        <family val="3"/>
        <charset val="204"/>
      </rPr>
      <t>24 порта/ 48 портов</t>
    </r>
    <r>
      <rPr>
        <b/>
        <sz val="10"/>
        <rFont val="Consolas"/>
        <family val="3"/>
        <charset val="204"/>
      </rPr>
      <t xml:space="preserve"> в шкаф/стойку
</t>
    </r>
    <r>
      <rPr>
        <b/>
        <sz val="10"/>
        <color rgb="FF0000FF"/>
        <rFont val="Consolas"/>
        <family val="3"/>
        <charset val="204"/>
      </rPr>
      <t xml:space="preserve">
- применяется только на объектах СКС</t>
    </r>
    <r>
      <rPr>
        <sz val="10"/>
        <rFont val="Consolas"/>
        <family val="3"/>
        <charset val="204"/>
      </rPr>
      <t xml:space="preserve">
- включает стоимость панели и крепежных элементов
</t>
    </r>
    <r>
      <rPr>
        <b/>
        <sz val="10"/>
        <color rgb="FF0000FF"/>
        <rFont val="Consolas"/>
        <family val="3"/>
        <charset val="204"/>
      </rPr>
      <t>- не включает стоимость разделки и расшивки (концевой заделки) медножильных кабелей на портах панели. Данные работы надо учитывать по расценке 8.5.6</t>
    </r>
  </si>
  <si>
    <r>
      <t xml:space="preserve">Расценка на монтаж оборудования в шкаф/стойку на объектах СКС
</t>
    </r>
    <r>
      <rPr>
        <sz val="10"/>
        <rFont val="Consolas"/>
        <family val="3"/>
        <charset val="204"/>
      </rPr>
      <t xml:space="preserve">- включает электромонтажные работы (при необходимости),  стоимость силового кабеля (при необходимости) и монтажных материалов,бирки на кабель.
</t>
    </r>
    <r>
      <rPr>
        <b/>
        <sz val="10"/>
        <color rgb="FF0000FF"/>
        <rFont val="Consolas"/>
        <family val="3"/>
        <charset val="204"/>
      </rPr>
      <t>- не включает стоимость  активного оборудования, монтаж и стоимость стойки, шкафа</t>
    </r>
    <r>
      <rPr>
        <sz val="10"/>
        <rFont val="Consolas"/>
        <family val="3"/>
        <charset val="204"/>
      </rPr>
      <t xml:space="preserve">
- учет второй и последующих единиц монтируемого оборудваония строго с учётом указанных коэффициентов к базовой расценке</t>
    </r>
  </si>
  <si>
    <r>
      <t xml:space="preserve">Расценка на разделку и расшику (концевую заделку) медножильных кабелей,МПК, на патч-панелях/кросс-панелях на объектах СКС
</t>
    </r>
    <r>
      <rPr>
        <b/>
        <sz val="10"/>
        <color rgb="FF0000FF"/>
        <rFont val="Consolas"/>
        <family val="3"/>
        <charset val="204"/>
      </rPr>
      <t>- применяется только на объектах СКС</t>
    </r>
    <r>
      <rPr>
        <sz val="10"/>
        <rFont val="Consolas"/>
        <family val="3"/>
        <charset val="204"/>
      </rPr>
      <t xml:space="preserve">
- предназначена для существующих медножильных кабелей, которые требуется оконечить или произвести замену оконечных устройств
- включает маркировку имиджевыми, идентификационными наклейками существующих кабелей рядом с панелями (при необходимости)</t>
    </r>
  </si>
  <si>
    <r>
      <t>Расценка на монтаж медножильных патч-кордов длиной</t>
    </r>
    <r>
      <rPr>
        <b/>
        <sz val="10"/>
        <color rgb="FFFF0000"/>
        <rFont val="Consolas"/>
        <family val="3"/>
        <charset val="204"/>
      </rPr>
      <t xml:space="preserve"> до 5 м</t>
    </r>
    <r>
      <rPr>
        <b/>
        <sz val="10"/>
        <rFont val="Consolas"/>
        <family val="3"/>
        <charset val="204"/>
      </rPr>
      <t xml:space="preserve"> на объектах СКС
</t>
    </r>
    <r>
      <rPr>
        <sz val="10"/>
        <rFont val="Consolas"/>
        <family val="3"/>
        <charset val="204"/>
      </rPr>
      <t xml:space="preserve">
- применяется только на объектах СКС
- включает стоимость патч-кордов и расходных материалов 
- включает прочие расходы (включая транспортные)
- включает работ по коммутации на объекте с использованием данного патч-корда</t>
    </r>
    <r>
      <rPr>
        <b/>
        <sz val="10"/>
        <rFont val="Consolas"/>
        <family val="3"/>
        <charset val="204"/>
      </rPr>
      <t xml:space="preserve">
</t>
    </r>
  </si>
  <si>
    <r>
      <t xml:space="preserve">Расценка на маркировку розеток и портов патч-панелей на объектах СКС
</t>
    </r>
    <r>
      <rPr>
        <sz val="10"/>
        <rFont val="Consolas"/>
        <family val="3"/>
        <charset val="204"/>
      </rPr>
      <t xml:space="preserve">
</t>
    </r>
    <r>
      <rPr>
        <b/>
        <sz val="10"/>
        <color rgb="FF0000FF"/>
        <rFont val="Consolas"/>
        <family val="3"/>
        <charset val="204"/>
      </rPr>
      <t>- применяется только на объектах СКС</t>
    </r>
    <r>
      <rPr>
        <sz val="10"/>
        <rFont val="Consolas"/>
        <family val="3"/>
        <charset val="204"/>
      </rPr>
      <t xml:space="preserve">
- применяется для маркировки (идентификации) розеток с привязкой к портам патч-панелей
- включает прозвонку линий для определеия соответствия портов патч-панели и розеток в помещениях (при необходимости)
- до выполнения работ принцип маркировки,шаблон и способ реализации согласовать с представителями Заказчика от Клиента (кураторами СКС)
- если иное не оговорено Заказчиком , маркировку допускается выполнять нанесением маркировки на розетки и патч-панели перманентным маркером темного цвета (на светлых конструкциях). Маркировка должна четко читаться, иметь аккуратное (каллиграфическое) написание букв и цифр. На темных конструкциях маркировку выполнять либо белым маркером, либо наклейкой светлых наклеек с темной маркировкой на них</t>
    </r>
    <r>
      <rPr>
        <b/>
        <sz val="10"/>
        <rFont val="Consolas"/>
        <family val="3"/>
        <charset val="204"/>
      </rPr>
      <t xml:space="preserve">
</t>
    </r>
  </si>
  <si>
    <r>
      <t xml:space="preserve">Расценка на демонтаж оборудования в шкафах/стойках объектов СКС
</t>
    </r>
    <r>
      <rPr>
        <b/>
        <sz val="10"/>
        <color rgb="FF0000FF"/>
        <rFont val="Consolas"/>
        <family val="3"/>
        <charset val="204"/>
      </rPr>
      <t>- применяется только на объектах СКС
- не включает работы по демонтажу телекоммуникационных шкафов/стоек. Данные работы учитываются по расценкам 6.35,6.36.</t>
    </r>
    <r>
      <rPr>
        <sz val="10"/>
        <rFont val="Consolas"/>
        <family val="3"/>
        <charset val="204"/>
      </rPr>
      <t xml:space="preserve">
- включает оформление разрешительных документов на доступ к месту размещения оборудования, помещению или территории размещения
- включает передачу Заказчику вместе с демонтированным оборудованием набора крепежных и соединительных элементов с предыдущего места установки, включая патч-корды и т.п.
- включает восстановление комплектности крепежных,соединительных и конструктивных элементов демонтированного оборудования,утеря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t>
    </r>
  </si>
  <si>
    <t>Расценки на измерения (отдельные) на объектах СКС</t>
  </si>
  <si>
    <r>
      <t xml:space="preserve">Расценка на тестирования (измерение) соединений на кабелях UTP/STP на соответствии категории на объектах СКС
</t>
    </r>
    <r>
      <rPr>
        <sz val="10"/>
        <rFont val="Consolas"/>
        <family val="3"/>
        <charset val="204"/>
      </rPr>
      <t xml:space="preserve">- применяется для </t>
    </r>
    <r>
      <rPr>
        <b/>
        <sz val="10"/>
        <color rgb="FF0000FF"/>
        <rFont val="Consolas"/>
        <family val="3"/>
        <charset val="204"/>
      </rPr>
      <t>существующих/модернизируемы</t>
    </r>
    <r>
      <rPr>
        <sz val="10"/>
        <rFont val="Consolas"/>
        <family val="3"/>
        <charset val="204"/>
      </rPr>
      <t xml:space="preserve">х линий на объекте
- выдается отдельным Заказом
</t>
    </r>
    <r>
      <rPr>
        <b/>
        <sz val="10"/>
        <color rgb="FF0000FF"/>
        <rFont val="Consolas"/>
        <family val="3"/>
        <charset val="204"/>
      </rPr>
      <t>- не применяется для вновь проложенных линий,где работы по измерениям (тестированию линков) учтены расценкой на прокладку</t>
    </r>
  </si>
  <si>
    <r>
      <t xml:space="preserve">Расценка на ПНР в электромонтажных работах
</t>
    </r>
    <r>
      <rPr>
        <b/>
        <sz val="10"/>
        <color rgb="FF0000FF"/>
        <rFont val="Consolas"/>
        <family val="3"/>
        <charset val="204"/>
      </rPr>
      <t>- применяется только на объектах СКС</t>
    </r>
    <r>
      <rPr>
        <sz val="10"/>
        <rFont val="Consolas"/>
        <family val="3"/>
        <charset val="204"/>
      </rPr>
      <t xml:space="preserve">
- выдается отдельным Заказом</t>
    </r>
  </si>
  <si>
    <t>Расценки на прочие работы</t>
  </si>
  <si>
    <r>
      <t xml:space="preserve">Расценки на технологические отверстия в стенах ,размеры </t>
    </r>
    <r>
      <rPr>
        <b/>
        <sz val="10"/>
        <color rgb="FFFF0000"/>
        <rFont val="Consolas"/>
        <family val="3"/>
        <charset val="204"/>
      </rPr>
      <t>50 мм, 100 мм, 300 мм</t>
    </r>
    <r>
      <rPr>
        <b/>
        <sz val="10"/>
        <rFont val="Consolas"/>
        <family val="3"/>
        <charset val="204"/>
      </rPr>
      <t xml:space="preserve">
</t>
    </r>
    <r>
      <rPr>
        <sz val="10"/>
        <rFont val="Consolas"/>
        <family val="3"/>
        <charset val="204"/>
      </rPr>
      <t xml:space="preserve">- применяются </t>
    </r>
    <r>
      <rPr>
        <b/>
        <sz val="10"/>
        <color rgb="FF0000FF"/>
        <rFont val="Consolas"/>
        <family val="3"/>
        <charset val="204"/>
      </rPr>
      <t>только для работ по прокладке и монтажу лотков</t>
    </r>
    <r>
      <rPr>
        <sz val="10"/>
        <rFont val="Consolas"/>
        <family val="3"/>
        <charset val="204"/>
      </rPr>
      <t xml:space="preserve"> по указанным расценкам при соблюдении нескольких условий:
1. Это должны быть капитальные/несущие стены с толщиной не менее 0,6 м
2. Отсутствует альтернативный вариант трассы прокладки/монтажа лотков,при котором не требуется выполнение этого отверстия или альтернативный вариант приводит к удлинению трассы прокладки с общим удорожанием, превышающим стоимость монтажа таких отверстий
- выдается отдельным Заказом</t>
    </r>
  </si>
  <si>
    <r>
      <t xml:space="preserve">Расценка на укладку антистатического линолеума
</t>
    </r>
    <r>
      <rPr>
        <sz val="10"/>
        <rFont val="Consolas"/>
        <family val="3"/>
        <charset val="204"/>
      </rPr>
      <t>- включает стоимость самого линолеума и всех материалов,в т.ч. и расходных
- обязательное согласование матариала с Заказчиком,в т.ч. и с Заказчиком от Клиента в случае выполнения работ в интересах Заказчика от БИС по отдельному заказу</t>
    </r>
    <r>
      <rPr>
        <b/>
        <sz val="10"/>
        <rFont val="Consolas"/>
        <family val="3"/>
        <charset val="204"/>
      </rPr>
      <t xml:space="preserve">
</t>
    </r>
  </si>
  <si>
    <r>
      <t xml:space="preserve">Расценка на монтаж фальш-пола
</t>
    </r>
    <r>
      <rPr>
        <sz val="10"/>
        <rFont val="Consolas"/>
        <family val="3"/>
        <charset val="204"/>
      </rPr>
      <t>- включает оформление схемы размещения и общего вида конструктива на объекте  с сосгласованием у Заказчика,в т.ч. и у Заказчиком от Клиента в случае выполнения работ в интересах Заказчика от БИС по отдельному заказу
- включает стоимость комплектующих (конструкций,плит, креплений и т.д.) и всех материалов,в т.ч. и расходных
- обязательное согласование матариала с Заказчиком,в т.ч. и с Заказчиком от Клиента в случае выполнения работ в интересах Заказчика от БИС по отдельному заказу</t>
    </r>
  </si>
  <si>
    <r>
      <t xml:space="preserve">Расценка на работы на существующем фальш-полу (частичный демонтаж/монтаж)
</t>
    </r>
    <r>
      <rPr>
        <sz val="10"/>
        <rFont val="Consolas"/>
        <family val="3"/>
        <charset val="204"/>
      </rPr>
      <t xml:space="preserve">
- применяется для работ на существующих конструкциях фальш-пола на объекте
- включает полное восстановление внешнего вида после проведения работ
- включает восстановление лакокрасочного покрытия демонтированных конструкций/плит,пострадавших с момента передачи в демонтаж и до момента передачи Заказчику по акту сдачи-приёмки объекта
- включает восстановление комплектности крепежных,соединительных и конструктивных элементов демонтированных конструкций/плит,утеря которых произошла  с момента передачи в демонтаж и до момента передачи Заказчику объекта по акту сдачи-приёмки</t>
    </r>
  </si>
  <si>
    <r>
      <t xml:space="preserve">Расценка на работы на существующем фальш-потолке (частичный демонтаж/монтаж конструкций и плиток)
</t>
    </r>
    <r>
      <rPr>
        <sz val="10"/>
        <rFont val="Consolas"/>
        <family val="3"/>
        <charset val="204"/>
      </rPr>
      <t xml:space="preserve">- применяется для работ на существующих конструкциях фальш-потолка на объекте
</t>
    </r>
    <r>
      <rPr>
        <b/>
        <sz val="10"/>
        <color rgb="FF0000FF"/>
        <rFont val="Consolas"/>
        <family val="3"/>
        <charset val="204"/>
      </rPr>
      <t>- не применяется в случаях вынужденного демонтажа/монтажа конструкций из-за некачественных работ по демонтажу/монтажу плиток. В этом случае демонтаж/монтаж конструкций не учитывается, работы учитываются по расценке 8.7.8, восстановление конструкций подрядчик проводит за свой счёт</t>
    </r>
    <r>
      <rPr>
        <sz val="10"/>
        <rFont val="Consolas"/>
        <family val="3"/>
        <charset val="204"/>
      </rPr>
      <t xml:space="preserve">
- включает полное восстановление внешнего вида после проведения работ
- включает восстановление лакокрасочного покрытия демонтированных конструкций/плит,пострадавших с момента передачи в демонтаж и до момента передачи Заказчику по акту сдачи-приёмки объекта
- включает восстановление комплектности крепежных,соединительных и конструктивных элементов демонтированных конструкций/плит,утеря которых произошла  с момента передачи в демонтаж и до момента передачи Заказчику объекта по акту сдачи-приёмки</t>
    </r>
  </si>
  <si>
    <r>
      <t xml:space="preserve">Расценка на работы на существующем фальш-потолке (частичный демонтаж/монтаж плиток)
</t>
    </r>
    <r>
      <rPr>
        <sz val="10"/>
        <rFont val="Consolas"/>
        <family val="3"/>
        <charset val="204"/>
      </rPr>
      <t xml:space="preserve">
</t>
    </r>
    <r>
      <rPr>
        <b/>
        <sz val="10"/>
        <color rgb="FF0000FF"/>
        <rFont val="Consolas"/>
        <family val="3"/>
        <charset val="204"/>
      </rPr>
      <t>- применяется для случаев,когда процедуре демонтажа/монтажа подвергаются только плитки, без демонтажа/монтажа поддерживающих конструкций/каркаса</t>
    </r>
    <r>
      <rPr>
        <sz val="10"/>
        <rFont val="Consolas"/>
        <family val="3"/>
        <charset val="204"/>
      </rPr>
      <t xml:space="preserve">
- применяется для работ на существующих конструкциях фальш-потолка на объекте
- включает полное восстановление внешнего вида после проведения работ
- включает восстановление лакокрасочного покрытия демонтированных конструкций/плит,пострадавших с момента передачи в демонтаж и до момента передачи Заказчику по акту сдачи-приёмки объекта
- включает восстановление комплектности крепежных,соединительных и конструктивных элементов демонтированных конструкций/плит,утеря которых произошла  с момента передачи в демонтаж и до момента передачи Заказчику объекта по акту сдачи-приёмки</t>
    </r>
  </si>
  <si>
    <t>Демонтаж/монтаж фальшпотолка
(Реечного типа/Амстронг)</t>
  </si>
  <si>
    <r>
      <t xml:space="preserve">Расценка на работы на существующем вентилируемом фасаде (алюкобонд, фасадная керамическая плитка)
</t>
    </r>
    <r>
      <rPr>
        <sz val="10"/>
        <rFont val="Consolas"/>
        <family val="3"/>
        <charset val="204"/>
      </rPr>
      <t>- применяется для работ на существующих конструкциях вентилируемых фасадов на объекте
- в случае повреждения каркасных конструкций фасада из-за некачественных работ по демонтажу/монтажу плиток восстановление конструкций подрядчик проводит за свой счёт
- включает полное восстановление внешнего вида после проведения работ
- включает восстановление лакокрасочного покрытия демонтированных конструкций/плит,пострадавших с момента передачи в демонтаж и до момента передачи Заказчику по акту сдачи-приёмки объекта
- включает восстановление комплектности крепежных,соединительных и конструктивных элементов демонтированных конструкций/плит,утеря которых произошла  с момента передачи в демонтаж и до момента передачи Заказчику объекта по акту сдачи-приёмки</t>
    </r>
  </si>
  <si>
    <r>
      <t xml:space="preserve">Расценка/повышающий коэффициент на работы в объекте СКС для работна высоте </t>
    </r>
    <r>
      <rPr>
        <b/>
        <sz val="10"/>
        <color rgb="FFFF0000"/>
        <rFont val="Consolas"/>
        <family val="3"/>
        <charset val="204"/>
      </rPr>
      <t>выше 4 м</t>
    </r>
    <r>
      <rPr>
        <b/>
        <sz val="10"/>
        <rFont val="Consolas"/>
        <family val="3"/>
        <charset val="204"/>
      </rPr>
      <t xml:space="preserve">
</t>
    </r>
    <r>
      <rPr>
        <sz val="10"/>
        <rFont val="Consolas"/>
        <family val="3"/>
        <charset val="204"/>
      </rPr>
      <t>- применяется только на работы объектов СКС и к соотвествующим расценкам раздела
- условия применения оговариваются на этапе согласования рабочей и проектной документации по всему Объекту,с указанием отсуствия  альтернативного варианта проведения работ,при котором не требуется проводить эти работы на высоте свыше 4 м или для случаев когда альтрнативный вариант приводит к удорожанию проекта, превышающему затраты на применение этого коэффициента к основному варианту или проведение работ на такой высоет является условием согласования технических решений со стороны Заказчика от Клиента</t>
    </r>
    <r>
      <rPr>
        <b/>
        <sz val="10"/>
        <rFont val="Consolas"/>
        <family val="3"/>
        <charset val="204"/>
      </rPr>
      <t xml:space="preserve">
</t>
    </r>
  </si>
  <si>
    <t xml:space="preserve">Организация АРМ на Объектах СКС </t>
  </si>
  <si>
    <r>
      <t xml:space="preserve">Монтаж/установка автоматизированного рабочего места (АРМ) </t>
    </r>
    <r>
      <rPr>
        <b/>
        <sz val="10"/>
        <color rgb="FF0000FF"/>
        <rFont val="Consolas"/>
        <family val="3"/>
        <charset val="204"/>
      </rPr>
      <t>(без учета настройки и тестирования)</t>
    </r>
  </si>
  <si>
    <r>
      <t xml:space="preserve">Расценка на монтаж/установку АРМ на объекте СКС
</t>
    </r>
    <r>
      <rPr>
        <sz val="10"/>
        <rFont val="Consolas"/>
        <family val="3"/>
        <charset val="204"/>
      </rPr>
      <t xml:space="preserve">- включает маркировку имиджевыми и идентификационными наклейками
- включает получение всех необходимых согласований на организацию АРМ, в т.ч. и с собствениками жилых помещений, владельцами зданий,территорий и Заказчиком со стороны Клиента
- включает оформления схемы/плана размещения элементов АРМ в помещении по запросу Заказчика с включением в дальнейшем указанной схемы в состав РД /ПСД по объекту
</t>
    </r>
    <r>
      <rPr>
        <b/>
        <sz val="10"/>
        <color rgb="FF0000FF"/>
        <rFont val="Consolas"/>
        <family val="3"/>
        <charset val="204"/>
      </rPr>
      <t>- не включает настройку и тестирование комплекта оборудования АРМ.Данные работы учитывать по расценке 8.8.</t>
    </r>
    <r>
      <rPr>
        <b/>
        <sz val="10"/>
        <rFont val="Consolas"/>
        <family val="3"/>
        <charset val="204"/>
      </rPr>
      <t>5</t>
    </r>
  </si>
  <si>
    <r>
      <t xml:space="preserve">Расценка на установку/замену ИБП для АРМ
</t>
    </r>
    <r>
      <rPr>
        <b/>
        <sz val="10"/>
        <color rgb="FF0000FF"/>
        <rFont val="Consolas"/>
        <family val="3"/>
        <charset val="204"/>
      </rPr>
      <t>- не включает стоимость ИБП</t>
    </r>
    <r>
      <rPr>
        <sz val="10"/>
        <rFont val="Consolas"/>
        <family val="3"/>
        <charset val="204"/>
      </rPr>
      <t xml:space="preserve">
- применяется на существующих АРМ на Объекте (при доукомплектовании/модернизации и т.д.)
- оформляется отдельным Заказом</t>
    </r>
  </si>
  <si>
    <r>
      <t xml:space="preserve">Расценка на установку/замену перефирийного устройства для АРМ
</t>
    </r>
    <r>
      <rPr>
        <b/>
        <sz val="10"/>
        <color rgb="FF0000FF"/>
        <rFont val="Consolas"/>
        <family val="3"/>
        <charset val="204"/>
      </rPr>
      <t>- не включает стоимость переферийного устройства</t>
    </r>
    <r>
      <rPr>
        <sz val="10"/>
        <rFont val="Consolas"/>
        <family val="3"/>
        <charset val="204"/>
      </rPr>
      <t xml:space="preserve">
- включает настройки и тестирование работы
- применяется на существующих АРМ на Объекте (при доукомплектовании/модернизации и т.д.)
- оформляется отдельным Заказом</t>
    </r>
  </si>
  <si>
    <r>
      <t xml:space="preserve">Расценка на демонтаж АРМ/переферийных устройств на  объектах СКС
</t>
    </r>
    <r>
      <rPr>
        <sz val="10"/>
        <rFont val="Consolas"/>
        <family val="3"/>
        <charset val="204"/>
      </rPr>
      <t>- включает оформление разрешительных документов на доступ к месту размещения оборудования, помещению или территории размещения
- включает передачу Заказчику БИС или Заказчику от Клиента  вместе с демонтированным оборудованием набора соединительных шнуров, переферийных устройств по акут приёма-передачи
- включает восстановление комплектности демонтированного оборудования,утеря которого произошла  с момента передачи в демонтаж и до момента передачи Заказчику по акту сдачи-приёмки на новом месте установки или на складе Заказчика</t>
    </r>
  </si>
  <si>
    <r>
      <t xml:space="preserve">Расценка на настройку и тестирование работоспособности АРМ
</t>
    </r>
    <r>
      <rPr>
        <sz val="10"/>
        <rFont val="Consolas"/>
        <family val="3"/>
        <charset val="204"/>
      </rPr>
      <t xml:space="preserve">
- включает передачу АРМ Заказчику БИС или Заказчику от Клиента с демонстрацией работоспособности по акту</t>
    </r>
    <r>
      <rPr>
        <b/>
        <sz val="10"/>
        <rFont val="Consolas"/>
        <family val="3"/>
        <charset val="204"/>
      </rPr>
      <t xml:space="preserve">
</t>
    </r>
    <r>
      <rPr>
        <b/>
        <sz val="10"/>
        <color rgb="FF0000FF"/>
        <rFont val="Consolas"/>
        <family val="3"/>
        <charset val="204"/>
      </rPr>
      <t>- не включает стоимость ПО</t>
    </r>
  </si>
  <si>
    <r>
      <t xml:space="preserve">Расценка на установку/монтаж телевизионных панелей диагональю </t>
    </r>
    <r>
      <rPr>
        <b/>
        <sz val="10"/>
        <color rgb="FFFF0000"/>
        <rFont val="Consolas"/>
        <family val="3"/>
        <charset val="204"/>
      </rPr>
      <t>до 55",свыше 55"</t>
    </r>
    <r>
      <rPr>
        <b/>
        <sz val="10"/>
        <rFont val="Consolas"/>
        <family val="3"/>
        <charset val="204"/>
      </rPr>
      <t xml:space="preserve">
</t>
    </r>
    <r>
      <rPr>
        <b/>
        <sz val="10"/>
        <color rgb="FF0000FF"/>
        <rFont val="Consolas"/>
        <family val="3"/>
        <charset val="204"/>
      </rPr>
      <t>- не включает стоимость панели,шнуров, кронштейна</t>
    </r>
    <r>
      <rPr>
        <sz val="10"/>
        <rFont val="Consolas"/>
        <family val="3"/>
        <charset val="204"/>
      </rPr>
      <t xml:space="preserve">
- включает стоимость крепежных и расходных элементов
- включает полное восстановление внешнего вида поверхностей после проведения работ
- включает все подключения, в т.ч. и к ЛВС,СКТВ
- включает проверку работоспособности и настройку панели</t>
    </r>
  </si>
  <si>
    <r>
      <t xml:space="preserve">Расценка на установку/подключение ТА
</t>
    </r>
    <r>
      <rPr>
        <b/>
        <sz val="10"/>
        <color rgb="FF0000FF"/>
        <rFont val="Consolas"/>
        <family val="3"/>
        <charset val="204"/>
      </rPr>
      <t>- не включает стоимость ТА и шнуров</t>
    </r>
    <r>
      <rPr>
        <sz val="10"/>
        <rFont val="Consolas"/>
        <family val="3"/>
        <charset val="204"/>
      </rPr>
      <t xml:space="preserve">
- включает работы по подключению,в т.ч. и IP-телефона
- включает работы по настройке и демонстрации работоспособности аппарата
- включает передачу АРМ Заказчику БИС или Заказчику от Клиента с демонстрацией работоспособности по акту (при необходимости)</t>
    </r>
  </si>
  <si>
    <t>КОММЕНТАРИИ И ПОЯСНЕНИЯ К СПРАВОЧНИКУ для "Выполнение работ для подключения клиентов сегментов B2C/B2B/B2G/B2O для нужд ПАО «Башинформсвязь».</t>
  </si>
  <si>
    <t>Полный состав работ и условия применения расценок см. Приложение 3.1</t>
  </si>
  <si>
    <t>Перечень расценок на выполнение работ для подключения клиентов сегментов B2C/B2B/B2G/B2O для нужд ПАО «Башинформсвязь»</t>
  </si>
  <si>
    <t>Приложение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</si>
</sst>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3" formatCode="_-* #,##0.00\ _₽_-;\-* #,##0.00\ _₽_-;_-* &quot;-&quot;??\ _₽_-;_-@_-"/>
    <numFmt numFmtId="164" formatCode="_-* #,##0_-;\-* #,##0_-;_-* &quot;-&quot;_-;_-@_-"/>
    <numFmt numFmtId="165" formatCode="_-* #,##0.00_-;\-* #,##0.00_-;_-* &quot;-&quot;??_-;_-@_-"/>
    <numFmt numFmtId="166" formatCode="_-* #,##0&quot;р.&quot;_-;\-* #,##0&quot;р.&quot;_-;_-* &quot;-&quot;&quot;р.&quot;_-;_-@_-"/>
    <numFmt numFmtId="167" formatCode="_-* #,##0_р_._-;\-* #,##0_р_._-;_-* &quot;-&quot;_р_._-;_-@_-"/>
    <numFmt numFmtId="168" formatCode="_-* #,##0.00&quot;р.&quot;_-;\-* #,##0.00&quot;р.&quot;_-;_-* &quot;-&quot;??&quot;р.&quot;_-;_-@_-"/>
    <numFmt numFmtId="169" formatCode="_-* #,##0.00_р_._-;\-* #,##0.00_р_._-;_-* &quot;-&quot;??_р_._-;_-@_-"/>
    <numFmt numFmtId="170" formatCode="00\ 00\ 00"/>
    <numFmt numFmtId="171" formatCode="_(* #,##0_);_(* \(#,##0\);_(* &quot;-&quot;??_);_(@_)"/>
    <numFmt numFmtId="172" formatCode="_(&quot;$&quot;* #,##0_);_(&quot;$&quot;* \(#,##0\);_(&quot;$&quot;* &quot;-&quot;_);_(@_)"/>
    <numFmt numFmtId="173" formatCode="_(&quot;$&quot;* #,##0.00_);_(&quot;$&quot;* \(#,##0.00\);_(&quot;$&quot;* &quot;-&quot;??_);_(@_)"/>
    <numFmt numFmtId="174" formatCode="###\ ##\ ##"/>
    <numFmt numFmtId="175" formatCode="0_);\(0\)"/>
    <numFmt numFmtId="176" formatCode="_ &quot;$&quot;* #,##0.00_ ;_ &quot;$&quot;* \-#,##0.00_ ;_ &quot;$&quot;* &quot;-&quot;??_ ;_ @_ "/>
    <numFmt numFmtId="177" formatCode="d/m/yy"/>
    <numFmt numFmtId="178" formatCode="&quot;OS&quot;\ &quot;#&quot;\,&quot;#&quot;&quot;#&quot;0.00;[Red]\-&quot;OS&quot;\ &quot;#&quot;\,&quot;#&quot;&quot;#&quot;0.00"/>
    <numFmt numFmtId="179" formatCode="_ &quot;$&quot;* #,##0_ ;_ &quot;$&quot;* \-#,##0_ ;_ &quot;$&quot;* &quot;-&quot;_ ;_ @_ "/>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_(* \(#,##0.00\);_(* &quot;-&quot;??_);_(@_)"/>
    <numFmt numFmtId="198" formatCode="_-* #,##0.00_р_-;\-* #,##0.00_р_-;_-* &quot;-&quot;??_р_-;_-@_-"/>
    <numFmt numFmtId="199" formatCode="_(* #,##0_);_(* \(#,##0\);_(* &quot;-&quot;_);_(@_)"/>
    <numFmt numFmtId="200" formatCode="0.0000"/>
  </numFmts>
  <fonts count="148">
    <font>
      <sz val="11"/>
      <color theme="1"/>
      <name val="Calibri"/>
      <family val="2"/>
      <charset val="204"/>
      <scheme val="minor"/>
    </font>
    <font>
      <sz val="11"/>
      <color theme="1"/>
      <name val="Calibri"/>
      <family val="2"/>
      <charset val="204"/>
      <scheme val="minor"/>
    </font>
    <font>
      <sz val="10"/>
      <name val="Arial Cyr"/>
      <charset val="204"/>
    </font>
    <font>
      <b/>
      <sz val="14"/>
      <name val="Times New Roman"/>
      <family val="1"/>
      <charset val="204"/>
    </font>
    <font>
      <sz val="11"/>
      <name val="Times New Roman"/>
      <family val="1"/>
      <charset val="204"/>
    </font>
    <font>
      <sz val="10"/>
      <name val="Times New Roman"/>
      <family val="1"/>
      <charset val="204"/>
    </font>
    <font>
      <b/>
      <sz val="10"/>
      <name val="Times New Roman"/>
      <family val="1"/>
      <charset val="204"/>
    </font>
    <font>
      <sz val="11"/>
      <color theme="1"/>
      <name val="Calibri"/>
      <family val="2"/>
      <scheme val="minor"/>
    </font>
    <font>
      <b/>
      <sz val="10"/>
      <name val="Arial Cyr"/>
      <family val="2"/>
      <charset val="204"/>
    </font>
    <font>
      <sz val="10"/>
      <name val="Arial"/>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sz val="11"/>
      <color indexed="8"/>
      <name val="Calibri"/>
      <family val="2"/>
      <charset val="204"/>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0"/>
      <color theme="1"/>
      <name val="Arial"/>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sz val="12"/>
      <color theme="1"/>
      <name val="Calibri"/>
      <family val="2"/>
      <charset val="204"/>
      <scheme val="minor"/>
    </font>
    <font>
      <sz val="10"/>
      <color theme="1"/>
      <name val="Calibri"/>
      <family val="2"/>
      <charset val="204"/>
      <scheme val="minor"/>
    </font>
    <font>
      <b/>
      <sz val="12"/>
      <name val="Calibri"/>
      <family val="2"/>
      <charset val="204"/>
      <scheme val="minor"/>
    </font>
    <font>
      <sz val="12"/>
      <name val="Calibri"/>
      <family val="2"/>
      <charset val="204"/>
      <scheme val="minor"/>
    </font>
    <font>
      <b/>
      <sz val="12"/>
      <name val="Arial"/>
      <family val="2"/>
      <charset val="204"/>
    </font>
    <font>
      <sz val="12"/>
      <color rgb="FFFF0000"/>
      <name val="Calibri"/>
      <family val="2"/>
      <charset val="204"/>
      <scheme val="minor"/>
    </font>
    <font>
      <sz val="8"/>
      <color indexed="81"/>
      <name val="Tahoma"/>
      <family val="2"/>
      <charset val="204"/>
    </font>
    <font>
      <b/>
      <sz val="12"/>
      <color rgb="FF0000FF"/>
      <name val="Calibri"/>
      <family val="2"/>
      <charset val="204"/>
      <scheme val="minor"/>
    </font>
    <font>
      <sz val="12"/>
      <color rgb="FF000000"/>
      <name val="Calibri"/>
      <family val="2"/>
      <charset val="204"/>
      <scheme val="minor"/>
    </font>
    <font>
      <sz val="11"/>
      <color theme="1"/>
      <name val="Calibri"/>
      <family val="2"/>
      <charset val="204"/>
    </font>
    <font>
      <b/>
      <sz val="11"/>
      <color theme="1"/>
      <name val="Calibri"/>
      <family val="2"/>
      <charset val="204"/>
    </font>
    <font>
      <b/>
      <sz val="22"/>
      <color theme="1"/>
      <name val="Consolas"/>
      <family val="3"/>
      <charset val="204"/>
    </font>
    <font>
      <b/>
      <sz val="12"/>
      <color rgb="FF0000FF"/>
      <name val="Consolas"/>
      <family val="3"/>
      <charset val="204"/>
    </font>
    <font>
      <b/>
      <sz val="11"/>
      <color rgb="FF0000FF"/>
      <name val="Consolas"/>
      <family val="3"/>
      <charset val="204"/>
    </font>
    <font>
      <b/>
      <sz val="10"/>
      <color rgb="FF0000FF"/>
      <name val="Consolas"/>
      <family val="3"/>
      <charset val="204"/>
    </font>
    <font>
      <b/>
      <sz val="14"/>
      <color theme="1"/>
      <name val="Consolas"/>
      <family val="3"/>
      <charset val="204"/>
    </font>
    <font>
      <b/>
      <sz val="12"/>
      <color theme="1"/>
      <name val="Consolas"/>
      <family val="3"/>
      <charset val="204"/>
    </font>
    <font>
      <b/>
      <sz val="18"/>
      <color rgb="FFC00000"/>
      <name val="Consolas"/>
      <family val="3"/>
      <charset val="204"/>
    </font>
    <font>
      <sz val="12"/>
      <color theme="1"/>
      <name val="Consolas"/>
      <family val="3"/>
      <charset val="204"/>
    </font>
    <font>
      <b/>
      <sz val="14"/>
      <name val="Consolas"/>
      <family val="3"/>
      <charset val="204"/>
    </font>
    <font>
      <b/>
      <sz val="14"/>
      <color rgb="FF000000"/>
      <name val="Consolas"/>
      <family val="3"/>
      <charset val="204"/>
    </font>
    <font>
      <sz val="12"/>
      <color rgb="FF000000"/>
      <name val="Consolas"/>
      <family val="3"/>
      <charset val="204"/>
    </font>
    <font>
      <b/>
      <sz val="12"/>
      <color rgb="FF000000"/>
      <name val="Consolas"/>
      <family val="3"/>
      <charset val="204"/>
    </font>
    <font>
      <b/>
      <sz val="12"/>
      <color rgb="FFFF0000"/>
      <name val="Consolas"/>
      <family val="3"/>
      <charset val="204"/>
    </font>
    <font>
      <sz val="12"/>
      <name val="Consolas"/>
      <family val="3"/>
      <charset val="204"/>
    </font>
    <font>
      <b/>
      <sz val="14"/>
      <color rgb="FFFF0000"/>
      <name val="Consolas"/>
      <family val="3"/>
      <charset val="204"/>
    </font>
    <font>
      <sz val="12"/>
      <color rgb="FF0000FF"/>
      <name val="Consolas"/>
      <family val="3"/>
      <charset val="204"/>
    </font>
    <font>
      <b/>
      <sz val="12"/>
      <name val="Consolas"/>
      <family val="3"/>
      <charset val="204"/>
    </font>
    <font>
      <sz val="10"/>
      <name val="Consolas"/>
      <family val="3"/>
      <charset val="204"/>
    </font>
    <font>
      <b/>
      <sz val="10"/>
      <name val="Consolas"/>
      <family val="3"/>
      <charset val="204"/>
    </font>
    <font>
      <b/>
      <sz val="11"/>
      <color theme="1"/>
      <name val="Consolas"/>
      <family val="3"/>
      <charset val="204"/>
    </font>
    <font>
      <b/>
      <sz val="11"/>
      <color rgb="FFFF0000"/>
      <name val="Consolas"/>
      <family val="3"/>
      <charset val="204"/>
    </font>
    <font>
      <sz val="10"/>
      <color theme="1"/>
      <name val="Consolas"/>
      <family val="3"/>
      <charset val="204"/>
    </font>
    <font>
      <sz val="10"/>
      <color rgb="FFFF0000"/>
      <name val="Consolas"/>
      <family val="3"/>
      <charset val="204"/>
    </font>
    <font>
      <b/>
      <sz val="10"/>
      <color rgb="FFFF0000"/>
      <name val="Consolas"/>
      <family val="3"/>
      <charset val="204"/>
    </font>
    <font>
      <b/>
      <sz val="11"/>
      <color rgb="FF000000"/>
      <name val="Consolas"/>
      <family val="3"/>
      <charset val="204"/>
    </font>
    <font>
      <sz val="10"/>
      <color rgb="FF0000FF"/>
      <name val="Consolas"/>
      <family val="3"/>
      <charset val="204"/>
    </font>
    <font>
      <sz val="10"/>
      <color rgb="FF000000"/>
      <name val="Consolas"/>
      <family val="3"/>
      <charset val="204"/>
    </font>
    <font>
      <sz val="14"/>
      <name val="Consolas"/>
      <family val="3"/>
      <charset val="204"/>
    </font>
    <font>
      <sz val="14"/>
      <color theme="1"/>
      <name val="Consolas"/>
      <family val="3"/>
      <charset val="204"/>
    </font>
    <font>
      <b/>
      <sz val="10"/>
      <color rgb="FF000000"/>
      <name val="Consolas"/>
      <family val="3"/>
      <charset val="204"/>
    </font>
    <font>
      <b/>
      <sz val="10"/>
      <color theme="1"/>
      <name val="Consolas"/>
      <family val="3"/>
      <charset val="204"/>
    </font>
    <font>
      <sz val="10"/>
      <color theme="1" tint="4.9989318521683403E-2"/>
      <name val="Consolas"/>
      <family val="3"/>
      <charset val="204"/>
    </font>
    <font>
      <b/>
      <sz val="14"/>
      <color rgb="FF0000FF"/>
      <name val="Consolas"/>
      <family val="3"/>
      <charset val="204"/>
    </font>
    <font>
      <b/>
      <u/>
      <sz val="10"/>
      <color rgb="FF0000FF"/>
      <name val="Consolas"/>
      <family val="3"/>
      <charset val="204"/>
    </font>
    <font>
      <sz val="9"/>
      <color theme="1"/>
      <name val="Consolas"/>
      <family val="3"/>
      <charset val="204"/>
    </font>
    <font>
      <sz val="9"/>
      <name val="Consolas"/>
      <family val="3"/>
      <charset val="204"/>
    </font>
    <font>
      <b/>
      <sz val="10"/>
      <color theme="1" tint="4.9989318521683403E-2"/>
      <name val="Consolas"/>
      <family val="3"/>
      <charset val="204"/>
    </font>
    <font>
      <b/>
      <sz val="9"/>
      <color theme="1"/>
      <name val="Consolas"/>
      <family val="3"/>
      <charset val="204"/>
    </font>
    <font>
      <sz val="11"/>
      <color theme="1"/>
      <name val="Consolas"/>
      <family val="3"/>
      <charset val="204"/>
    </font>
    <font>
      <sz val="10"/>
      <color indexed="10"/>
      <name val="Consolas"/>
      <family val="3"/>
      <charset val="204"/>
    </font>
    <font>
      <b/>
      <sz val="16"/>
      <color theme="1"/>
      <name val="Consolas"/>
      <family val="3"/>
      <charset val="204"/>
    </font>
    <font>
      <sz val="12"/>
      <color theme="0"/>
      <name val="Consolas"/>
      <family val="3"/>
      <charset val="204"/>
    </font>
    <font>
      <b/>
      <sz val="12"/>
      <color theme="0"/>
      <name val="Consolas"/>
      <family val="3"/>
      <charset val="204"/>
    </font>
    <font>
      <b/>
      <sz val="22"/>
      <color theme="0"/>
      <name val="Consolas"/>
      <family val="3"/>
      <charset val="204"/>
    </font>
    <font>
      <b/>
      <sz val="11"/>
      <name val="Consolas"/>
      <family val="3"/>
      <charset val="204"/>
    </font>
    <font>
      <b/>
      <sz val="10"/>
      <color rgb="FF00B050"/>
      <name val="Consolas"/>
      <family val="3"/>
      <charset val="204"/>
    </font>
    <font>
      <sz val="10"/>
      <color rgb="FF00B050"/>
      <name val="Consolas"/>
      <family val="3"/>
      <charset val="204"/>
    </font>
    <font>
      <b/>
      <sz val="9"/>
      <color rgb="FF0000FF"/>
      <name val="Consolas"/>
      <family val="3"/>
      <charset val="204"/>
    </font>
    <font>
      <sz val="9"/>
      <color rgb="FF000000"/>
      <name val="Consolas"/>
      <family val="3"/>
      <charset val="204"/>
    </font>
    <font>
      <sz val="8"/>
      <color theme="1"/>
      <name val="Consolas"/>
      <family val="3"/>
      <charset val="204"/>
    </font>
    <font>
      <sz val="14"/>
      <color rgb="FF0000FF"/>
      <name val="Consolas"/>
      <family val="3"/>
      <charset val="204"/>
    </font>
    <font>
      <b/>
      <sz val="16"/>
      <color rgb="FF0000FF"/>
      <name val="Consolas"/>
      <family val="3"/>
      <charset val="204"/>
    </font>
    <font>
      <sz val="16"/>
      <color rgb="FF0000FF"/>
      <name val="Consolas"/>
      <family val="3"/>
      <charset val="204"/>
    </font>
    <font>
      <b/>
      <sz val="24"/>
      <color theme="1"/>
      <name val="Consolas"/>
      <family val="3"/>
      <charset val="204"/>
    </font>
    <font>
      <b/>
      <sz val="10"/>
      <color theme="0"/>
      <name val="Consolas"/>
      <family val="3"/>
      <charset val="204"/>
    </font>
    <font>
      <u/>
      <sz val="11"/>
      <color theme="10"/>
      <name val="Calibri"/>
      <family val="2"/>
      <charset val="204"/>
      <scheme val="minor"/>
    </font>
    <font>
      <sz val="14"/>
      <color theme="0"/>
      <name val="Consolas"/>
      <family val="3"/>
      <charset val="204"/>
    </font>
  </fonts>
  <fills count="76">
    <fill>
      <patternFill patternType="none"/>
    </fill>
    <fill>
      <patternFill patternType="gray125"/>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theme="9" tint="0.79998168889431442"/>
        <bgColor indexed="64"/>
      </patternFill>
    </fill>
    <fill>
      <patternFill patternType="solid">
        <fgColor rgb="FFCCECFF"/>
        <bgColor indexed="64"/>
      </patternFill>
    </fill>
    <fill>
      <patternFill patternType="solid">
        <fgColor theme="7" tint="0.79998168889431442"/>
        <bgColor indexed="64"/>
      </patternFill>
    </fill>
    <fill>
      <patternFill patternType="solid">
        <fgColor rgb="FFCCFFFF"/>
        <bgColor indexed="64"/>
      </patternFill>
    </fill>
    <fill>
      <patternFill patternType="solid">
        <fgColor theme="0"/>
        <bgColor indexed="64"/>
      </patternFill>
    </fill>
    <fill>
      <patternFill patternType="solid">
        <fgColor theme="0" tint="-4.9989318521683403E-2"/>
        <bgColor indexed="64"/>
      </patternFill>
    </fill>
    <fill>
      <patternFill patternType="solid">
        <fgColor rgb="FFFB9E2B"/>
        <bgColor indexed="64"/>
      </patternFill>
    </fill>
    <fill>
      <patternFill patternType="solid">
        <fgColor rgb="FF6CA1B4"/>
        <bgColor indexed="64"/>
      </patternFill>
    </fill>
    <fill>
      <patternFill patternType="solid">
        <fgColor rgb="FFFEF4EC"/>
        <bgColor indexed="64"/>
      </patternFill>
    </fill>
    <fill>
      <patternFill patternType="solid">
        <fgColor rgb="FFF2F2F2"/>
        <bgColor indexed="64"/>
      </patternFill>
    </fill>
    <fill>
      <patternFill patternType="solid">
        <fgColor rgb="FFF7F9F4"/>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0"/>
      </left>
      <right style="thin">
        <color indexed="0"/>
      </right>
      <top style="thin">
        <color indexed="0"/>
      </top>
      <bottom style="thin">
        <color indexed="0"/>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theme="1" tint="0.34998626667073579"/>
      </left>
      <right/>
      <top style="medium">
        <color theme="1" tint="0.34998626667073579"/>
      </top>
      <bottom/>
      <diagonal/>
    </border>
    <border>
      <left style="dashed">
        <color theme="1" tint="0.34998626667073579"/>
      </left>
      <right style="dashed">
        <color theme="1" tint="0.34998626667073579"/>
      </right>
      <top style="dashed">
        <color theme="1" tint="0.34998626667073579"/>
      </top>
      <bottom style="dashed">
        <color theme="1" tint="0.34998626667073579"/>
      </bottom>
      <diagonal/>
    </border>
  </borders>
  <cellStyleXfs count="3232">
    <xf numFmtId="0" fontId="0" fillId="0" borderId="0"/>
    <xf numFmtId="0" fontId="2" fillId="0" borderId="0"/>
    <xf numFmtId="0" fontId="2" fillId="0" borderId="0"/>
    <xf numFmtId="169" fontId="2" fillId="0" borderId="0" applyFont="0" applyFill="0" applyBorder="0" applyAlignment="0" applyProtection="0"/>
    <xf numFmtId="0" fontId="2" fillId="0" borderId="0"/>
    <xf numFmtId="0" fontId="2" fillId="0" borderId="0"/>
    <xf numFmtId="0" fontId="1" fillId="0" borderId="0"/>
    <xf numFmtId="0" fontId="2" fillId="0" borderId="0"/>
    <xf numFmtId="0" fontId="1" fillId="0" borderId="0"/>
    <xf numFmtId="0" fontId="2" fillId="0" borderId="0"/>
    <xf numFmtId="0" fontId="7" fillId="0" borderId="0"/>
    <xf numFmtId="170" fontId="8" fillId="2" borderId="4" applyNumberFormat="0" applyFont="0" applyFill="0" applyBorder="0" applyAlignment="0" applyProtection="0">
      <alignment horizontal="center"/>
    </xf>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11" fillId="0" borderId="0"/>
    <xf numFmtId="0" fontId="11" fillId="0" borderId="0"/>
    <xf numFmtId="0" fontId="10" fillId="0" borderId="0"/>
    <xf numFmtId="0" fontId="9" fillId="0" borderId="0"/>
    <xf numFmtId="0" fontId="11" fillId="0" borderId="0"/>
    <xf numFmtId="0" fontId="10" fillId="0" borderId="0"/>
    <xf numFmtId="0" fontId="11" fillId="0" borderId="0"/>
    <xf numFmtId="0" fontId="12" fillId="0" borderId="0"/>
    <xf numFmtId="49" fontId="8" fillId="2" borderId="1" applyBorder="0">
      <alignment horizontal="center" wrapText="1"/>
    </xf>
    <xf numFmtId="0" fontId="13" fillId="2" borderId="1" applyBorder="0">
      <alignment horizontal="left" wrapText="1"/>
    </xf>
    <xf numFmtId="0" fontId="8" fillId="2" borderId="2" applyBorder="0">
      <alignment horizontal="center" textRotation="90" wrapText="1"/>
    </xf>
    <xf numFmtId="0" fontId="10"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0" fillId="0" borderId="0"/>
    <xf numFmtId="0" fontId="10" fillId="0" borderId="0"/>
    <xf numFmtId="0" fontId="10" fillId="0" borderId="0"/>
    <xf numFmtId="0" fontId="10" fillId="0" borderId="0"/>
    <xf numFmtId="0" fontId="14" fillId="0" borderId="0">
      <alignment vertical="center"/>
    </xf>
    <xf numFmtId="0" fontId="9"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9" fillId="0" borderId="0"/>
    <xf numFmtId="0" fontId="12"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0" fillId="0" borderId="0"/>
    <xf numFmtId="0" fontId="11" fillId="0" borderId="0"/>
    <xf numFmtId="0" fontId="11" fillId="0" borderId="0"/>
    <xf numFmtId="0" fontId="10" fillId="0" borderId="0"/>
    <xf numFmtId="0" fontId="11" fillId="0" borderId="0"/>
    <xf numFmtId="0" fontId="11" fillId="0" borderId="0"/>
    <xf numFmtId="0" fontId="11" fillId="0" borderId="0"/>
    <xf numFmtId="0" fontId="9" fillId="0" borderId="0"/>
    <xf numFmtId="0" fontId="10" fillId="0" borderId="0"/>
    <xf numFmtId="0" fontId="11" fillId="0" borderId="0"/>
    <xf numFmtId="0" fontId="9" fillId="0" borderId="0"/>
    <xf numFmtId="0" fontId="10" fillId="0" borderId="0"/>
    <xf numFmtId="0" fontId="11" fillId="0" borderId="0"/>
    <xf numFmtId="0" fontId="9" fillId="0" borderId="0"/>
    <xf numFmtId="0" fontId="9" fillId="0" borderId="0"/>
    <xf numFmtId="0" fontId="15" fillId="0" borderId="0"/>
    <xf numFmtId="49" fontId="16" fillId="0" borderId="0" applyFill="0" applyProtection="0">
      <alignment horizontal="centerContinuous" wrapText="1"/>
    </xf>
    <xf numFmtId="0" fontId="17" fillId="3" borderId="5">
      <alignment horizontal="center"/>
    </xf>
    <xf numFmtId="171" fontId="18" fillId="4" borderId="1">
      <alignment horizontal="center"/>
    </xf>
    <xf numFmtId="1" fontId="2" fillId="0" borderId="6" applyFill="0" applyProtection="0">
      <alignment horizontal="center" vertical="center"/>
    </xf>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49" fontId="2" fillId="0" borderId="7" applyFill="0" applyProtection="0">
      <alignment horizontal="justify" vertical="center" wrapText="1"/>
    </xf>
    <xf numFmtId="49" fontId="19" fillId="0" borderId="7" applyFill="0" applyProtection="0">
      <alignment horizontal="center" vertical="center" wrapText="1"/>
    </xf>
    <xf numFmtId="2" fontId="2" fillId="0" borderId="8" applyFill="0" applyProtection="0">
      <alignment horizontal="center" vertical="center"/>
    </xf>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172" fontId="9" fillId="0" borderId="0" applyFont="0" applyFill="0" applyBorder="0" applyAlignment="0" applyProtection="0"/>
    <xf numFmtId="173" fontId="9" fillId="0" borderId="0" applyFont="0" applyFill="0" applyBorder="0" applyAlignment="0" applyProtection="0"/>
    <xf numFmtId="0" fontId="20" fillId="19"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20" fillId="24" borderId="0" applyNumberFormat="0" applyBorder="0" applyAlignment="0" applyProtection="0"/>
    <xf numFmtId="0" fontId="20" fillId="19"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20" fillId="24" borderId="0" applyNumberFormat="0" applyBorder="0" applyAlignment="0" applyProtection="0"/>
    <xf numFmtId="0" fontId="20" fillId="27" borderId="0" applyNumberFormat="0" applyBorder="0" applyAlignment="0" applyProtection="0"/>
    <xf numFmtId="0" fontId="15" fillId="28" borderId="0" applyNumberFormat="0" applyBorder="0" applyAlignment="0" applyProtection="0"/>
    <xf numFmtId="0" fontId="15" fillId="20" borderId="0" applyNumberFormat="0" applyBorder="0" applyAlignment="0" applyProtection="0"/>
    <xf numFmtId="0" fontId="20" fillId="21" borderId="0" applyNumberFormat="0" applyBorder="0" applyAlignment="0" applyProtection="0"/>
    <xf numFmtId="0" fontId="20" fillId="29" borderId="0" applyNumberFormat="0" applyBorder="0" applyAlignment="0" applyProtection="0"/>
    <xf numFmtId="0" fontId="15" fillId="23" borderId="0" applyNumberFormat="0" applyBorder="0" applyAlignment="0" applyProtection="0"/>
    <xf numFmtId="0" fontId="15" fillId="30" borderId="0" applyNumberFormat="0" applyBorder="0" applyAlignment="0" applyProtection="0"/>
    <xf numFmtId="0" fontId="20" fillId="30" borderId="0" applyNumberFormat="0" applyBorder="0" applyAlignment="0" applyProtection="0"/>
    <xf numFmtId="174" fontId="21" fillId="31" borderId="0">
      <alignment horizontal="center" vertical="center"/>
    </xf>
    <xf numFmtId="167" fontId="22" fillId="0" borderId="9" applyFont="0" applyBorder="0">
      <alignment horizontal="right" vertical="center"/>
    </xf>
    <xf numFmtId="0" fontId="23" fillId="0" borderId="0" applyNumberFormat="0" applyFill="0" applyBorder="0" applyAlignment="0" applyProtection="0">
      <alignment vertical="top"/>
      <protection locked="0"/>
    </xf>
    <xf numFmtId="172" fontId="9" fillId="0" borderId="0" applyFont="0" applyFill="0" applyBorder="0" applyAlignment="0" applyProtection="0"/>
    <xf numFmtId="173" fontId="9" fillId="0" borderId="0" applyFont="0" applyFill="0" applyBorder="0" applyAlignment="0" applyProtection="0"/>
    <xf numFmtId="171" fontId="18" fillId="32" borderId="1">
      <alignment vertical="center"/>
    </xf>
    <xf numFmtId="175" fontId="22" fillId="0" borderId="0" applyFont="0" applyBorder="0" applyProtection="0">
      <alignment vertical="center"/>
    </xf>
    <xf numFmtId="174" fontId="9" fillId="0" borderId="0" applyNumberFormat="0" applyFont="0" applyAlignment="0">
      <alignment horizontal="center" vertical="center"/>
    </xf>
    <xf numFmtId="39" fontId="24" fillId="2" borderId="0" applyNumberFormat="0" applyBorder="0">
      <alignment vertical="center"/>
    </xf>
    <xf numFmtId="0" fontId="25" fillId="33" borderId="0" applyNumberFormat="0" applyBorder="0" applyAlignment="0" applyProtection="0"/>
    <xf numFmtId="0" fontId="18" fillId="0" borderId="0">
      <alignment horizontal="left"/>
    </xf>
    <xf numFmtId="171" fontId="26" fillId="34" borderId="1">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1" fontId="26" fillId="35" borderId="1">
      <alignment vertical="center"/>
    </xf>
    <xf numFmtId="176" fontId="9" fillId="0" borderId="0"/>
    <xf numFmtId="176" fontId="9" fillId="0" borderId="0"/>
    <xf numFmtId="167" fontId="18" fillId="36" borderId="5">
      <alignment vertical="center"/>
    </xf>
    <xf numFmtId="0" fontId="27" fillId="25" borderId="10" applyNumberFormat="0" applyAlignment="0" applyProtection="0"/>
    <xf numFmtId="164" fontId="9" fillId="0" borderId="0" applyFont="0" applyFill="0" applyBorder="0" applyAlignment="0" applyProtection="0"/>
    <xf numFmtId="169" fontId="9" fillId="0" borderId="0" applyFont="0" applyFill="0" applyBorder="0" applyAlignment="0" applyProtection="0"/>
    <xf numFmtId="177" fontId="2" fillId="0" borderId="0" applyFont="0" applyFill="0" applyBorder="0" applyAlignment="0" applyProtection="0"/>
    <xf numFmtId="178" fontId="11" fillId="0" borderId="0" applyFont="0" applyFill="0" applyBorder="0" applyAlignment="0" applyProtection="0"/>
    <xf numFmtId="179" fontId="9" fillId="0" borderId="0">
      <alignment horizontal="center"/>
    </xf>
    <xf numFmtId="0" fontId="28" fillId="0" borderId="11" applyNumberFormat="0" applyFill="0" applyProtection="0">
      <alignment vertical="top"/>
    </xf>
    <xf numFmtId="164" fontId="9" fillId="0" borderId="0" applyFont="0" applyFill="0" applyBorder="0" applyAlignment="0" applyProtection="0"/>
    <xf numFmtId="165" fontId="9" fillId="0" borderId="0" applyFont="0" applyFill="0" applyBorder="0" applyAlignment="0" applyProtection="0"/>
    <xf numFmtId="0" fontId="29" fillId="37"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9" fillId="0" borderId="0" applyNumberFormat="0" applyFont="0">
      <alignment wrapText="1"/>
    </xf>
    <xf numFmtId="0" fontId="31" fillId="40" borderId="0">
      <alignment horizontal="centerContinuous" vertical="center"/>
    </xf>
    <xf numFmtId="167" fontId="18" fillId="4" borderId="1" applyBorder="0">
      <alignment horizontal="center" vertical="center"/>
    </xf>
    <xf numFmtId="0" fontId="32" fillId="26" borderId="0" applyNumberFormat="0" applyBorder="0" applyAlignment="0" applyProtection="0"/>
    <xf numFmtId="0" fontId="9" fillId="2" borderId="0"/>
    <xf numFmtId="0" fontId="9" fillId="2" borderId="0"/>
    <xf numFmtId="0" fontId="9" fillId="2" borderId="0"/>
    <xf numFmtId="0" fontId="9" fillId="2" borderId="0"/>
    <xf numFmtId="0" fontId="9" fillId="2" borderId="0"/>
    <xf numFmtId="0" fontId="9" fillId="2" borderId="0"/>
    <xf numFmtId="0" fontId="9" fillId="2" borderId="0"/>
    <xf numFmtId="0" fontId="9" fillId="2" borderId="0"/>
    <xf numFmtId="0" fontId="9" fillId="2" borderId="0"/>
    <xf numFmtId="0" fontId="9" fillId="2" borderId="0"/>
    <xf numFmtId="0" fontId="28" fillId="41" borderId="11" applyNumberFormat="0" applyProtection="0">
      <alignment vertical="top"/>
    </xf>
    <xf numFmtId="0" fontId="33" fillId="0" borderId="12"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2" fontId="36" fillId="42" borderId="3">
      <alignment horizontal="left"/>
      <protection locked="0"/>
    </xf>
    <xf numFmtId="0" fontId="37" fillId="43" borderId="0"/>
    <xf numFmtId="0" fontId="37" fillId="43" borderId="0"/>
    <xf numFmtId="0" fontId="37" fillId="43" borderId="0"/>
    <xf numFmtId="0" fontId="37" fillId="43" borderId="0"/>
    <xf numFmtId="0" fontId="37" fillId="43" borderId="0"/>
    <xf numFmtId="0" fontId="37" fillId="43" borderId="0"/>
    <xf numFmtId="0" fontId="37" fillId="43" borderId="0"/>
    <xf numFmtId="0" fontId="37" fillId="43" borderId="0"/>
    <xf numFmtId="0" fontId="37" fillId="43" borderId="0"/>
    <xf numFmtId="0" fontId="37" fillId="43" borderId="0"/>
    <xf numFmtId="0" fontId="3" fillId="44" borderId="0"/>
    <xf numFmtId="0" fontId="3" fillId="44" borderId="0"/>
    <xf numFmtId="0" fontId="3" fillId="44" borderId="0"/>
    <xf numFmtId="0" fontId="3" fillId="44" borderId="0"/>
    <xf numFmtId="0" fontId="3" fillId="44" borderId="0"/>
    <xf numFmtId="0" fontId="3" fillId="44" borderId="0"/>
    <xf numFmtId="0" fontId="3" fillId="44" borderId="0"/>
    <xf numFmtId="0" fontId="3" fillId="44" borderId="0"/>
    <xf numFmtId="0" fontId="3" fillId="44" borderId="0"/>
    <xf numFmtId="0" fontId="3" fillId="44"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24" fillId="45" borderId="1">
      <alignment horizontal="center" vertical="center" wrapText="1"/>
      <protection locked="0"/>
    </xf>
    <xf numFmtId="2" fontId="39" fillId="0" borderId="1">
      <alignment horizontal="center" vertical="center"/>
    </xf>
    <xf numFmtId="0" fontId="40" fillId="0" borderId="0"/>
    <xf numFmtId="0" fontId="9" fillId="0" borderId="0"/>
    <xf numFmtId="0" fontId="41" fillId="30" borderId="15" applyNumberFormat="0" applyAlignment="0" applyProtection="0"/>
    <xf numFmtId="10" fontId="42" fillId="46" borderId="1" applyNumberFormat="0" applyBorder="0" applyAlignment="0" applyProtection="0"/>
    <xf numFmtId="167" fontId="18" fillId="47" borderId="1">
      <alignment vertical="center"/>
      <protection locked="0"/>
    </xf>
    <xf numFmtId="0" fontId="43" fillId="0" borderId="0">
      <alignment horizontal="center" vertical="center" wrapText="1"/>
    </xf>
    <xf numFmtId="171" fontId="9" fillId="48" borderId="1">
      <alignment vertical="center"/>
    </xf>
    <xf numFmtId="180" fontId="44" fillId="0" borderId="0" applyFont="0" applyFill="0" applyBorder="0" applyAlignment="0" applyProtection="0"/>
    <xf numFmtId="0" fontId="45" fillId="0" borderId="0">
      <alignment horizontal="center" vertical="center" wrapText="1"/>
    </xf>
    <xf numFmtId="174" fontId="46" fillId="49" borderId="16" applyBorder="0" applyAlignment="0">
      <alignment horizontal="left" indent="1"/>
    </xf>
    <xf numFmtId="0" fontId="47" fillId="0" borderId="17" applyNumberFormat="0" applyFill="0" applyAlignment="0" applyProtection="0"/>
    <xf numFmtId="0" fontId="48" fillId="50" borderId="0" applyNumberFormat="0" applyBorder="0" applyAlignment="0" applyProtection="0"/>
    <xf numFmtId="0" fontId="8" fillId="2" borderId="1" applyFont="0" applyBorder="0" applyAlignment="0">
      <alignment horizontal="center" vertical="center"/>
    </xf>
    <xf numFmtId="181" fontId="49" fillId="0" borderId="0"/>
    <xf numFmtId="0" fontId="9" fillId="0" borderId="0"/>
    <xf numFmtId="0" fontId="9" fillId="0" borderId="0"/>
    <xf numFmtId="0" fontId="9" fillId="0" borderId="0"/>
    <xf numFmtId="0" fontId="10" fillId="0" borderId="0"/>
    <xf numFmtId="0" fontId="10" fillId="0" borderId="0"/>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3" fontId="36" fillId="0" borderId="0" applyNumberFormat="0">
      <alignment horizontal="center"/>
    </xf>
    <xf numFmtId="167" fontId="9" fillId="0" borderId="0" applyFont="0" applyFill="0" applyBorder="0" applyAlignment="0" applyProtection="0"/>
    <xf numFmtId="169" fontId="9" fillId="0" borderId="0" applyFont="0" applyFill="0" applyBorder="0" applyAlignment="0" applyProtection="0"/>
    <xf numFmtId="182" fontId="50" fillId="0" borderId="0">
      <alignment horizontal="left"/>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3" fontId="51" fillId="0" borderId="0">
      <alignment vertical="top"/>
    </xf>
    <xf numFmtId="183" fontId="2" fillId="0" borderId="0" applyFont="0" applyFill="0" applyBorder="0" applyAlignment="0" applyProtection="0"/>
    <xf numFmtId="0" fontId="52" fillId="51" borderId="18" applyNumberFormat="0" applyAlignment="0" applyProtection="0"/>
    <xf numFmtId="0" fontId="53" fillId="2" borderId="0">
      <alignment vertical="center"/>
    </xf>
    <xf numFmtId="39" fontId="24" fillId="2" borderId="0">
      <alignment vertical="center"/>
    </xf>
    <xf numFmtId="10" fontId="9" fillId="0" borderId="0" applyFont="0" applyFill="0" applyBorder="0" applyAlignment="0" applyProtection="0"/>
    <xf numFmtId="9" fontId="9" fillId="0" borderId="0" applyFont="0" applyFill="0" applyBorder="0" applyAlignment="0" applyProtection="0"/>
    <xf numFmtId="184" fontId="9" fillId="0" borderId="0"/>
    <xf numFmtId="185" fontId="50" fillId="0" borderId="0"/>
    <xf numFmtId="0" fontId="9" fillId="0" borderId="0"/>
    <xf numFmtId="171" fontId="54" fillId="48" borderId="1">
      <alignment horizontal="center" vertical="center" wrapText="1"/>
      <protection locked="0"/>
    </xf>
    <xf numFmtId="186" fontId="9" fillId="0" borderId="0" applyFont="0" applyFill="0" applyBorder="0" applyAlignment="0" applyProtection="0"/>
    <xf numFmtId="0" fontId="9" fillId="0"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9" fillId="52" borderId="0">
      <alignment vertical="center"/>
    </xf>
    <xf numFmtId="0" fontId="55" fillId="53" borderId="1">
      <alignment vertical="top"/>
    </xf>
    <xf numFmtId="0" fontId="56" fillId="54" borderId="0">
      <alignment horizontal="center" vertical="center"/>
    </xf>
    <xf numFmtId="0" fontId="56" fillId="54" borderId="0">
      <alignment horizontal="right" vertical="top"/>
    </xf>
    <xf numFmtId="0" fontId="57" fillId="0" borderId="0" applyNumberFormat="0" applyFill="0" applyBorder="0" applyAlignment="0" applyProtection="0"/>
    <xf numFmtId="187" fontId="9" fillId="31" borderId="1">
      <alignment vertical="center"/>
    </xf>
    <xf numFmtId="188" fontId="58" fillId="0" borderId="1">
      <alignment horizontal="left" vertical="center"/>
      <protection locked="0"/>
    </xf>
    <xf numFmtId="0" fontId="9" fillId="55" borderId="0"/>
    <xf numFmtId="0" fontId="10" fillId="0" borderId="0"/>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171" fontId="9" fillId="40" borderId="19" applyNumberFormat="0" applyFont="0" applyAlignment="0">
      <alignment horizontal="left"/>
    </xf>
    <xf numFmtId="0" fontId="59" fillId="0" borderId="0"/>
    <xf numFmtId="3" fontId="30" fillId="0" borderId="0">
      <protection locked="0"/>
    </xf>
    <xf numFmtId="189" fontId="9" fillId="0" borderId="0" applyFont="0" applyFill="0" applyBorder="0" applyAlignment="0" applyProtection="0"/>
    <xf numFmtId="190" fontId="9" fillId="0" borderId="0" applyFont="0" applyFill="0" applyBorder="0" applyAlignment="0" applyProtection="0"/>
    <xf numFmtId="182" fontId="50" fillId="0" borderId="0">
      <alignment horizontal="left"/>
    </xf>
    <xf numFmtId="191" fontId="9" fillId="2" borderId="0" applyFill="0"/>
    <xf numFmtId="0" fontId="60" fillId="0" borderId="0" applyNumberFormat="0" applyFill="0" applyBorder="0" applyAlignment="0" applyProtection="0">
      <alignment horizontal="center"/>
    </xf>
    <xf numFmtId="171" fontId="17" fillId="3" borderId="5">
      <alignment horizontal="center" vertical="center"/>
    </xf>
    <xf numFmtId="192" fontId="9" fillId="0" borderId="0" applyFont="0" applyFill="0" applyBorder="0" applyAlignment="0" applyProtection="0"/>
    <xf numFmtId="193" fontId="9" fillId="0" borderId="0" applyFont="0" applyFill="0" applyBorder="0" applyAlignment="0" applyProtection="0"/>
    <xf numFmtId="0" fontId="61" fillId="0" borderId="20"/>
    <xf numFmtId="0" fontId="62" fillId="0" borderId="0" applyNumberFormat="0" applyFill="0" applyBorder="0" applyAlignment="0" applyProtection="0"/>
    <xf numFmtId="0" fontId="63" fillId="56" borderId="21">
      <alignment vertical="center"/>
      <protection locked="0"/>
    </xf>
    <xf numFmtId="194" fontId="9" fillId="0" borderId="0" applyFont="0" applyFill="0" applyBorder="0" applyAlignment="0" applyProtection="0"/>
    <xf numFmtId="195" fontId="9" fillId="0" borderId="0" applyFont="0" applyFill="0" applyBorder="0" applyAlignment="0" applyProtection="0"/>
    <xf numFmtId="0" fontId="63" fillId="47" borderId="1">
      <alignment horizontal="right" wrapText="1"/>
      <protection locked="0"/>
    </xf>
    <xf numFmtId="171" fontId="9" fillId="47" borderId="1" applyNumberFormat="0" applyFill="0" applyBorder="0" applyProtection="0">
      <alignment vertical="center"/>
      <protection locked="0"/>
    </xf>
    <xf numFmtId="171" fontId="9" fillId="47" borderId="1" applyNumberFormat="0" applyFill="0" applyBorder="0" applyProtection="0">
      <alignment vertical="center"/>
      <protection locked="0"/>
    </xf>
    <xf numFmtId="171" fontId="9" fillId="47" borderId="1" applyNumberFormat="0" applyFill="0" applyBorder="0" applyProtection="0">
      <alignment vertical="center"/>
      <protection locked="0"/>
    </xf>
    <xf numFmtId="171" fontId="9" fillId="47" borderId="1" applyNumberFormat="0" applyFill="0" applyBorder="0" applyProtection="0">
      <alignment vertical="center"/>
      <protection locked="0"/>
    </xf>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7"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8"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59"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20" fillId="60" borderId="0" applyNumberFormat="0" applyBorder="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41" fillId="10" borderId="15"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52" fillId="61" borderId="18"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0" fontId="64" fillId="61" borderId="15" applyNumberFormat="0" applyAlignment="0" applyProtection="0"/>
    <xf numFmtId="168" fontId="9" fillId="0" borderId="0" applyFont="0" applyFill="0" applyBorder="0" applyAlignment="0" applyProtection="0"/>
    <xf numFmtId="173" fontId="9" fillId="0" borderId="0" applyFont="0" applyFill="0" applyBorder="0" applyAlignment="0" applyProtection="0"/>
    <xf numFmtId="174" fontId="24" fillId="2" borderId="0" applyNumberFormat="0" applyFont="0" applyFill="0" applyBorder="0" applyAlignment="0" applyProtection="0">
      <alignment vertical="center"/>
    </xf>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5" fillId="0" borderId="22"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6" fillId="0" borderId="1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23"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0" borderId="0">
      <alignment horizontal="left"/>
    </xf>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29" fillId="0" borderId="24" applyNumberFormat="0" applyFill="0" applyAlignment="0" applyProtection="0"/>
    <xf numFmtId="0" fontId="69" fillId="2" borderId="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27" fillId="62" borderId="10" applyNumberFormat="0" applyAlignment="0" applyProtection="0"/>
    <xf numFmtId="0" fontId="70" fillId="2" borderId="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0" fontId="48" fillId="53" borderId="0" applyNumberFormat="0" applyBorder="0" applyAlignment="0" applyProtection="0"/>
    <xf numFmtId="166" fontId="2" fillId="0" borderId="0" applyFont="0" applyFill="0" applyBorder="0" applyAlignment="0" applyProtection="0"/>
    <xf numFmtId="0" fontId="1" fillId="0" borderId="0"/>
    <xf numFmtId="0" fontId="2" fillId="0" borderId="0"/>
    <xf numFmtId="0" fontId="1" fillId="0" borderId="0"/>
    <xf numFmtId="0" fontId="7" fillId="0" borderId="0"/>
    <xf numFmtId="0" fontId="9" fillId="0" borderId="0"/>
    <xf numFmtId="0" fontId="9" fillId="0" borderId="0"/>
    <xf numFmtId="0" fontId="9"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72" fillId="0" borderId="0"/>
    <xf numFmtId="0" fontId="9" fillId="0" borderId="0"/>
    <xf numFmtId="0" fontId="73" fillId="0" borderId="0"/>
    <xf numFmtId="0" fontId="1" fillId="0" borderId="0"/>
    <xf numFmtId="0" fontId="9" fillId="0" borderId="0"/>
    <xf numFmtId="0" fontId="1" fillId="0" borderId="0"/>
    <xf numFmtId="0" fontId="1" fillId="0" borderId="0"/>
    <xf numFmtId="0" fontId="1" fillId="0" borderId="0"/>
    <xf numFmtId="0" fontId="1" fillId="0" borderId="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4" fillId="6" borderId="0" applyNumberFormat="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0" fontId="2" fillId="63" borderId="25" applyNumberFormat="0" applyFont="0" applyAlignment="0" applyProtection="0"/>
    <xf numFmtId="9" fontId="1" fillId="0" borderId="0" applyFont="0" applyFill="0" applyBorder="0" applyAlignment="0" applyProtection="0"/>
    <xf numFmtId="9" fontId="7" fillId="0" borderId="0" applyFont="0" applyFill="0" applyBorder="0" applyAlignment="0" applyProtection="0"/>
    <xf numFmtId="9" fontId="2"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0" fontId="76" fillId="35" borderId="0">
      <alignment horizontal="center" vertical="top"/>
    </xf>
    <xf numFmtId="3" fontId="77" fillId="0" borderId="0" applyFont="0" applyFill="0" applyBorder="0" applyProtection="0">
      <alignment horizontal="right" vertical="center"/>
    </xf>
    <xf numFmtId="0" fontId="11" fillId="0" borderId="0"/>
    <xf numFmtId="0" fontId="9" fillId="0" borderId="0"/>
    <xf numFmtId="0" fontId="10" fillId="0" borderId="0"/>
    <xf numFmtId="0" fontId="11" fillId="0" borderId="0"/>
    <xf numFmtId="196" fontId="78" fillId="0" borderId="0" applyFont="0" applyFill="0" applyBorder="0" applyAlignment="0" applyProtection="0"/>
    <xf numFmtId="169" fontId="18" fillId="0" borderId="0" applyFont="0" applyFill="0" applyBorder="0" applyAlignment="0" applyProtection="0"/>
    <xf numFmtId="169" fontId="7" fillId="0" borderId="0" applyFont="0" applyFill="0" applyBorder="0" applyAlignment="0" applyProtection="0"/>
    <xf numFmtId="43" fontId="2"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73" fillId="0" borderId="0" applyFont="0" applyFill="0" applyBorder="0" applyAlignment="0" applyProtection="0"/>
    <xf numFmtId="169" fontId="1" fillId="0" borderId="0" applyFont="0" applyFill="0" applyBorder="0" applyAlignment="0" applyProtection="0"/>
    <xf numFmtId="169" fontId="2" fillId="0" borderId="0" applyFont="0" applyFill="0" applyBorder="0" applyAlignment="0" applyProtection="0"/>
    <xf numFmtId="197" fontId="9" fillId="0" borderId="0" applyFont="0" applyFill="0" applyBorder="0" applyAlignment="0" applyProtection="0"/>
    <xf numFmtId="169" fontId="1" fillId="0" borderId="0" applyFont="0" applyFill="0" applyBorder="0" applyAlignment="0" applyProtection="0"/>
    <xf numFmtId="198" fontId="2"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43" fontId="2" fillId="0" borderId="0" applyFont="0" applyFill="0" applyBorder="0" applyAlignment="0" applyProtection="0"/>
    <xf numFmtId="169" fontId="1" fillId="0" borderId="0" applyFont="0" applyFill="0" applyBorder="0" applyAlignment="0" applyProtection="0"/>
    <xf numFmtId="167"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99"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167" fontId="18" fillId="64" borderId="1">
      <alignment horizontal="center" vertical="center"/>
      <protection locked="0"/>
    </xf>
    <xf numFmtId="0" fontId="79" fillId="0" borderId="0"/>
    <xf numFmtId="0" fontId="9" fillId="0" borderId="0"/>
    <xf numFmtId="0" fontId="9" fillId="0" borderId="26" applyNumberFormat="0" applyFill="0" applyProtection="0">
      <alignment horizontal="center" vertical="center" wrapText="1"/>
    </xf>
    <xf numFmtId="0" fontId="1" fillId="0" borderId="0"/>
    <xf numFmtId="9"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5" fillId="0" borderId="0">
      <alignment horizontal="left" vertical="top"/>
    </xf>
    <xf numFmtId="0" fontId="9" fillId="0" borderId="1" applyBorder="0" applyAlignment="0">
      <alignment horizontal="center" wrapText="1"/>
    </xf>
    <xf numFmtId="0" fontId="5" fillId="0" borderId="0">
      <alignment horizontal="center"/>
    </xf>
    <xf numFmtId="0" fontId="1" fillId="0" borderId="0"/>
    <xf numFmtId="0" fontId="146" fillId="0" borderId="0" applyNumberFormat="0" applyFill="0" applyBorder="0" applyAlignment="0" applyProtection="0"/>
  </cellStyleXfs>
  <cellXfs count="437">
    <xf numFmtId="0" fontId="0" fillId="0" borderId="0" xfId="0"/>
    <xf numFmtId="0" fontId="0" fillId="0" borderId="0" xfId="0" applyBorder="1"/>
    <xf numFmtId="0" fontId="80" fillId="0" borderId="0" xfId="0" applyFont="1" applyBorder="1"/>
    <xf numFmtId="0" fontId="81" fillId="0" borderId="0" xfId="0" applyFont="1" applyFill="1" applyBorder="1"/>
    <xf numFmtId="0" fontId="0" fillId="0" borderId="0" xfId="0" applyFill="1" applyBorder="1"/>
    <xf numFmtId="0" fontId="80" fillId="0" borderId="0" xfId="0" applyFont="1" applyFill="1" applyBorder="1"/>
    <xf numFmtId="4" fontId="83" fillId="0" borderId="0" xfId="8" applyNumberFormat="1" applyFont="1" applyFill="1" applyBorder="1" applyAlignment="1">
      <alignment horizontal="right" vertical="center" wrapText="1" indent="1"/>
    </xf>
    <xf numFmtId="4" fontId="82" fillId="0" borderId="0" xfId="8" applyNumberFormat="1" applyFont="1" applyFill="1" applyBorder="1" applyAlignment="1">
      <alignment horizontal="right" vertical="center" wrapText="1" indent="1"/>
    </xf>
    <xf numFmtId="0" fontId="80" fillId="0" borderId="0" xfId="0" applyFont="1" applyBorder="1" applyAlignment="1">
      <alignment wrapText="1"/>
    </xf>
    <xf numFmtId="0" fontId="83" fillId="0" borderId="0" xfId="1" applyFont="1" applyBorder="1" applyAlignment="1" applyProtection="1">
      <alignment horizontal="left" vertical="center" wrapText="1" indent="1"/>
      <protection locked="0"/>
    </xf>
    <xf numFmtId="0" fontId="88" fillId="0" borderId="0" xfId="0" applyFont="1" applyBorder="1" applyAlignment="1">
      <alignment horizontal="left" vertical="center" wrapText="1" indent="1"/>
    </xf>
    <xf numFmtId="0" fontId="89" fillId="0" borderId="0" xfId="0" applyFont="1" applyBorder="1" applyAlignment="1">
      <alignment horizontal="right" vertical="center" wrapText="1"/>
    </xf>
    <xf numFmtId="9" fontId="83" fillId="0" borderId="0" xfId="3226" applyFont="1" applyFill="1" applyBorder="1" applyAlignment="1">
      <alignment horizontal="right" vertical="center" wrapText="1" indent="1"/>
    </xf>
    <xf numFmtId="4" fontId="80" fillId="0" borderId="0" xfId="0" applyNumberFormat="1" applyFont="1" applyBorder="1"/>
    <xf numFmtId="9" fontId="80" fillId="0" borderId="0" xfId="3226" applyFont="1" applyBorder="1" applyAlignment="1">
      <alignment horizontal="center" vertical="center"/>
    </xf>
    <xf numFmtId="9" fontId="82" fillId="0" borderId="0" xfId="3226" applyFont="1" applyFill="1" applyBorder="1" applyAlignment="1">
      <alignment horizontal="right" vertical="center" wrapText="1" indent="1"/>
    </xf>
    <xf numFmtId="4" fontId="84" fillId="0" borderId="0" xfId="0" applyNumberFormat="1" applyFont="1" applyBorder="1" applyAlignment="1">
      <alignment horizontal="center" vertical="center" wrapText="1"/>
    </xf>
    <xf numFmtId="4" fontId="82" fillId="0" borderId="0" xfId="8" applyNumberFormat="1" applyFont="1" applyFill="1" applyBorder="1" applyAlignment="1">
      <alignment horizontal="center" vertical="center" wrapText="1"/>
    </xf>
    <xf numFmtId="0" fontId="85" fillId="0" borderId="0" xfId="0" applyFont="1" applyFill="1" applyBorder="1"/>
    <xf numFmtId="2" fontId="80" fillId="0" borderId="0" xfId="3226" applyNumberFormat="1" applyFont="1" applyFill="1" applyBorder="1"/>
    <xf numFmtId="0" fontId="80" fillId="0" borderId="0" xfId="0" applyFont="1" applyFill="1" applyBorder="1" applyAlignment="1">
      <alignment horizontal="left" vertical="center" wrapText="1" indent="1"/>
    </xf>
    <xf numFmtId="4" fontId="90" fillId="0" borderId="0" xfId="0" applyNumberFormat="1" applyFont="1" applyFill="1" applyBorder="1" applyAlignment="1">
      <alignment horizontal="right" vertical="center" wrapText="1"/>
    </xf>
    <xf numFmtId="9" fontId="80" fillId="0" borderId="0" xfId="3226" applyFont="1" applyFill="1" applyBorder="1"/>
    <xf numFmtId="4" fontId="80" fillId="0" borderId="0" xfId="0" applyNumberFormat="1" applyFont="1" applyFill="1" applyBorder="1"/>
    <xf numFmtId="0" fontId="80" fillId="0" borderId="0" xfId="0" applyFont="1" applyFill="1" applyBorder="1" applyAlignment="1">
      <alignment vertical="center" wrapText="1"/>
    </xf>
    <xf numFmtId="1" fontId="80" fillId="0" borderId="0" xfId="3226" applyNumberFormat="1" applyFont="1" applyFill="1" applyBorder="1"/>
    <xf numFmtId="0" fontId="91" fillId="72" borderId="0" xfId="0" applyFont="1" applyFill="1" applyBorder="1" applyAlignment="1">
      <alignment horizontal="center" vertical="center"/>
    </xf>
    <xf numFmtId="0" fontId="96" fillId="72" borderId="0" xfId="0" applyFont="1" applyFill="1" applyBorder="1" applyAlignment="1">
      <alignment horizontal="left" vertical="center"/>
    </xf>
    <xf numFmtId="0" fontId="98" fillId="0" borderId="0" xfId="0" applyFont="1" applyBorder="1"/>
    <xf numFmtId="0" fontId="98" fillId="0" borderId="0" xfId="0" applyFont="1" applyBorder="1" applyAlignment="1">
      <alignment horizontal="center"/>
    </xf>
    <xf numFmtId="0" fontId="96" fillId="0" borderId="0" xfId="0" applyFont="1" applyBorder="1" applyAlignment="1">
      <alignment horizontal="center"/>
    </xf>
    <xf numFmtId="0" fontId="98" fillId="0" borderId="0" xfId="0" applyFont="1" applyFill="1" applyBorder="1" applyAlignment="1">
      <alignment horizontal="center"/>
    </xf>
    <xf numFmtId="0" fontId="98" fillId="0" borderId="0" xfId="0" applyFont="1" applyBorder="1" applyAlignment="1">
      <alignment horizontal="right" indent="1"/>
    </xf>
    <xf numFmtId="0" fontId="81" fillId="0" borderId="0" xfId="0" applyFont="1" applyBorder="1"/>
    <xf numFmtId="0" fontId="98" fillId="0" borderId="31" xfId="0" applyFont="1" applyBorder="1"/>
    <xf numFmtId="0" fontId="110" fillId="0" borderId="31" xfId="0" applyFont="1" applyFill="1" applyBorder="1" applyAlignment="1">
      <alignment horizontal="justify" wrapText="1"/>
    </xf>
    <xf numFmtId="0" fontId="112" fillId="0" borderId="31" xfId="0" applyFont="1" applyBorder="1" applyAlignment="1">
      <alignment horizontal="justify" vertical="center"/>
    </xf>
    <xf numFmtId="0" fontId="112" fillId="0" borderId="31" xfId="0" applyFont="1" applyBorder="1" applyAlignment="1">
      <alignment horizontal="center"/>
    </xf>
    <xf numFmtId="4" fontId="96" fillId="0" borderId="31" xfId="0" applyNumberFormat="1" applyFont="1" applyBorder="1" applyAlignment="1">
      <alignment horizontal="center"/>
    </xf>
    <xf numFmtId="0" fontId="98" fillId="0" borderId="31" xfId="0" applyFont="1" applyBorder="1" applyAlignment="1">
      <alignment horizontal="center"/>
    </xf>
    <xf numFmtId="0" fontId="98" fillId="0" borderId="31" xfId="0" applyFont="1" applyFill="1" applyBorder="1" applyAlignment="1">
      <alignment horizontal="center"/>
    </xf>
    <xf numFmtId="0" fontId="112" fillId="0" borderId="31" xfId="0" applyFont="1" applyBorder="1" applyAlignment="1">
      <alignment horizontal="justify"/>
    </xf>
    <xf numFmtId="0" fontId="98" fillId="70" borderId="31" xfId="0" applyFont="1" applyFill="1" applyBorder="1" applyAlignment="1">
      <alignment horizontal="center" vertical="center"/>
    </xf>
    <xf numFmtId="0" fontId="98" fillId="0" borderId="31" xfId="0" applyFont="1" applyBorder="1" applyAlignment="1">
      <alignment horizontal="center" vertical="center"/>
    </xf>
    <xf numFmtId="0" fontId="98" fillId="74" borderId="31" xfId="0" applyFont="1" applyFill="1" applyBorder="1" applyAlignment="1">
      <alignment horizontal="center" vertical="center"/>
    </xf>
    <xf numFmtId="0" fontId="129" fillId="0" borderId="0" xfId="0" applyFont="1" applyBorder="1" applyAlignment="1">
      <alignment horizontal="justify"/>
    </xf>
    <xf numFmtId="0" fontId="112" fillId="0" borderId="0" xfId="0" applyFont="1" applyBorder="1" applyAlignment="1">
      <alignment horizontal="justify" vertical="center"/>
    </xf>
    <xf numFmtId="0" fontId="112" fillId="0" borderId="0" xfId="0" applyFont="1" applyBorder="1" applyAlignment="1">
      <alignment horizontal="center"/>
    </xf>
    <xf numFmtId="4" fontId="96" fillId="0" borderId="0" xfId="0" applyNumberFormat="1" applyFont="1" applyBorder="1" applyAlignment="1">
      <alignment horizontal="center"/>
    </xf>
    <xf numFmtId="0" fontId="112" fillId="0" borderId="0" xfId="0" applyFont="1" applyBorder="1" applyAlignment="1">
      <alignment horizontal="justify"/>
    </xf>
    <xf numFmtId="0" fontId="96" fillId="0" borderId="0" xfId="0" applyFont="1" applyBorder="1" applyAlignment="1">
      <alignment horizontal="justify"/>
    </xf>
    <xf numFmtId="4" fontId="96" fillId="0" borderId="31" xfId="0" applyNumberFormat="1" applyFont="1" applyBorder="1" applyAlignment="1">
      <alignment horizontal="justify"/>
    </xf>
    <xf numFmtId="4" fontId="96" fillId="0" borderId="0" xfId="0" applyNumberFormat="1" applyFont="1" applyBorder="1" applyAlignment="1">
      <alignment horizontal="justify"/>
    </xf>
    <xf numFmtId="0" fontId="81" fillId="0" borderId="0" xfId="0" applyFont="1" applyBorder="1"/>
    <xf numFmtId="0" fontId="80" fillId="0" borderId="0" xfId="0" applyFont="1" applyBorder="1" applyAlignment="1">
      <alignment vertical="center"/>
    </xf>
    <xf numFmtId="0" fontId="80" fillId="0" borderId="0" xfId="0" applyFont="1" applyFill="1" applyBorder="1" applyAlignment="1">
      <alignment vertical="center"/>
    </xf>
    <xf numFmtId="0" fontId="85" fillId="0" borderId="0" xfId="0" applyFont="1" applyFill="1" applyBorder="1" applyAlignment="1"/>
    <xf numFmtId="0" fontId="96" fillId="0" borderId="31" xfId="0" applyFont="1" applyBorder="1" applyAlignment="1">
      <alignment horizontal="center" vertical="center" wrapText="1"/>
    </xf>
    <xf numFmtId="0" fontId="110" fillId="0" borderId="31" xfId="0" applyFont="1" applyBorder="1" applyAlignment="1">
      <alignment horizontal="center" vertical="center" wrapText="1"/>
    </xf>
    <xf numFmtId="0" fontId="110" fillId="0" borderId="31" xfId="0" applyFont="1" applyFill="1" applyBorder="1" applyAlignment="1">
      <alignment horizontal="center" vertical="center" wrapText="1"/>
    </xf>
    <xf numFmtId="0" fontId="96" fillId="0" borderId="31" xfId="0" applyFont="1" applyFill="1" applyBorder="1" applyAlignment="1">
      <alignment horizontal="center" vertical="center" wrapText="1"/>
    </xf>
    <xf numFmtId="0" fontId="98" fillId="71" borderId="31" xfId="0" applyFont="1" applyFill="1" applyBorder="1" applyAlignment="1">
      <alignment horizontal="center" vertical="center" wrapText="1"/>
    </xf>
    <xf numFmtId="0" fontId="96" fillId="71" borderId="31" xfId="0" applyFont="1" applyFill="1" applyBorder="1" applyAlignment="1">
      <alignment horizontal="center" vertical="center" wrapText="1"/>
    </xf>
    <xf numFmtId="0" fontId="98" fillId="0" borderId="31" xfId="0" applyFont="1" applyFill="1" applyBorder="1" applyAlignment="1">
      <alignment horizontal="center" vertical="center" wrapText="1"/>
    </xf>
    <xf numFmtId="49" fontId="101" fillId="73" borderId="31" xfId="0" applyNumberFormat="1" applyFont="1" applyFill="1" applyBorder="1" applyAlignment="1">
      <alignment horizontal="center" vertical="center" wrapText="1"/>
    </xf>
    <xf numFmtId="0" fontId="115" fillId="73" borderId="31" xfId="0" applyFont="1" applyFill="1" applyBorder="1" applyAlignment="1">
      <alignment horizontal="left" vertical="center" wrapText="1" indent="1"/>
    </xf>
    <xf numFmtId="0" fontId="112" fillId="73" borderId="31" xfId="0" applyFont="1" applyFill="1" applyBorder="1" applyAlignment="1">
      <alignment horizontal="justify" vertical="center" wrapText="1"/>
    </xf>
    <xf numFmtId="0" fontId="101" fillId="73" borderId="31" xfId="0" applyFont="1" applyFill="1" applyBorder="1" applyAlignment="1">
      <alignment horizontal="center" vertical="center" wrapText="1"/>
    </xf>
    <xf numFmtId="0" fontId="96" fillId="73" borderId="31" xfId="0" applyFont="1" applyFill="1" applyBorder="1" applyAlignment="1">
      <alignment horizontal="right" vertical="center" wrapText="1" indent="1"/>
    </xf>
    <xf numFmtId="4" fontId="104" fillId="73" borderId="31" xfId="8" applyNumberFormat="1" applyFont="1" applyFill="1" applyBorder="1" applyAlignment="1">
      <alignment horizontal="right" vertical="center" wrapText="1" indent="1"/>
    </xf>
    <xf numFmtId="0" fontId="98" fillId="73" borderId="31" xfId="0" applyFont="1" applyFill="1" applyBorder="1"/>
    <xf numFmtId="4" fontId="94" fillId="73" borderId="31" xfId="0" applyNumberFormat="1" applyFont="1" applyFill="1" applyBorder="1" applyAlignment="1">
      <alignment horizontal="left" vertical="center" wrapText="1" indent="1"/>
    </xf>
    <xf numFmtId="49" fontId="117" fillId="0" borderId="31" xfId="0" applyNumberFormat="1" applyFont="1" applyFill="1" applyBorder="1" applyAlignment="1">
      <alignment horizontal="right" vertical="center" wrapText="1"/>
    </xf>
    <xf numFmtId="49" fontId="117" fillId="0" borderId="31" xfId="0" applyNumberFormat="1" applyFont="1" applyFill="1" applyBorder="1" applyAlignment="1">
      <alignment horizontal="left" vertical="center" wrapText="1" indent="2"/>
    </xf>
    <xf numFmtId="0" fontId="117" fillId="0" borderId="31" xfId="0" applyFont="1" applyFill="1" applyBorder="1" applyAlignment="1">
      <alignment horizontal="center" vertical="center" wrapText="1"/>
    </xf>
    <xf numFmtId="4" fontId="123" fillId="0" borderId="31" xfId="0" applyNumberFormat="1" applyFont="1" applyFill="1" applyBorder="1" applyAlignment="1">
      <alignment horizontal="right" vertical="center" wrapText="1" indent="1"/>
    </xf>
    <xf numFmtId="4" fontId="141" fillId="0" borderId="31" xfId="8" applyNumberFormat="1" applyFont="1" applyFill="1" applyBorder="1" applyAlignment="1">
      <alignment horizontal="right" vertical="center" wrapText="1" indent="1"/>
    </xf>
    <xf numFmtId="4" fontId="101" fillId="0" borderId="31" xfId="0" applyNumberFormat="1" applyFont="1" applyFill="1" applyBorder="1" applyAlignment="1">
      <alignment horizontal="left" vertical="center" wrapText="1" indent="1"/>
    </xf>
    <xf numFmtId="0" fontId="120" fillId="73" borderId="31" xfId="0" applyFont="1" applyFill="1" applyBorder="1" applyAlignment="1">
      <alignment horizontal="left" vertical="center" wrapText="1" indent="1"/>
    </xf>
    <xf numFmtId="0" fontId="117" fillId="73" borderId="31" xfId="0" applyFont="1" applyFill="1" applyBorder="1" applyAlignment="1">
      <alignment horizontal="center" vertical="center" wrapText="1"/>
    </xf>
    <xf numFmtId="0" fontId="95" fillId="73" borderId="31" xfId="0" applyFont="1" applyFill="1" applyBorder="1" applyAlignment="1">
      <alignment horizontal="right" vertical="center" wrapText="1" indent="1"/>
    </xf>
    <xf numFmtId="4" fontId="118" fillId="73" borderId="31" xfId="8" applyNumberFormat="1" applyFont="1" applyFill="1" applyBorder="1" applyAlignment="1">
      <alignment horizontal="right" vertical="center" wrapText="1" indent="1"/>
    </xf>
    <xf numFmtId="0" fontId="119" fillId="73" borderId="31" xfId="0" applyFont="1" applyFill="1" applyBorder="1"/>
    <xf numFmtId="4" fontId="141" fillId="0" borderId="31" xfId="0" applyNumberFormat="1" applyFont="1" applyFill="1" applyBorder="1" applyAlignment="1">
      <alignment horizontal="right" vertical="center" wrapText="1" indent="1"/>
    </xf>
    <xf numFmtId="4" fontId="94" fillId="0" borderId="31" xfId="0" applyNumberFormat="1" applyFont="1" applyFill="1" applyBorder="1" applyAlignment="1">
      <alignment horizontal="left" vertical="center" wrapText="1" indent="1"/>
    </xf>
    <xf numFmtId="49" fontId="98" fillId="73" borderId="31" xfId="0" applyNumberFormat="1" applyFont="1" applyFill="1" applyBorder="1" applyAlignment="1">
      <alignment horizontal="center" vertical="center"/>
    </xf>
    <xf numFmtId="0" fontId="121" fillId="73" borderId="31" xfId="0" applyFont="1" applyFill="1" applyBorder="1" applyAlignment="1">
      <alignment horizontal="left" vertical="center" wrapText="1" indent="1"/>
    </xf>
    <xf numFmtId="49" fontId="112" fillId="73" borderId="31" xfId="0" applyNumberFormat="1" applyFont="1" applyFill="1" applyBorder="1" applyAlignment="1">
      <alignment horizontal="left" vertical="center" wrapText="1" indent="1"/>
    </xf>
    <xf numFmtId="0" fontId="112" fillId="73" borderId="31" xfId="0" applyFont="1" applyFill="1" applyBorder="1" applyAlignment="1">
      <alignment horizontal="center" vertical="center" wrapText="1"/>
    </xf>
    <xf numFmtId="4" fontId="121" fillId="73" borderId="31" xfId="0" applyNumberFormat="1" applyFont="1" applyFill="1" applyBorder="1" applyAlignment="1">
      <alignment horizontal="right" vertical="center" wrapText="1" indent="1"/>
    </xf>
    <xf numFmtId="4" fontId="108" fillId="73" borderId="31" xfId="8" applyNumberFormat="1" applyFont="1" applyFill="1" applyBorder="1" applyAlignment="1">
      <alignment horizontal="right" vertical="center" wrapText="1" indent="1"/>
    </xf>
    <xf numFmtId="4" fontId="112" fillId="73" borderId="31" xfId="0" applyNumberFormat="1" applyFont="1" applyFill="1" applyBorder="1" applyAlignment="1">
      <alignment horizontal="right" vertical="center" wrapText="1" indent="1"/>
    </xf>
    <xf numFmtId="49" fontId="112" fillId="0" borderId="31" xfId="0" applyNumberFormat="1" applyFont="1" applyFill="1" applyBorder="1" applyAlignment="1">
      <alignment horizontal="right" vertical="center"/>
    </xf>
    <xf numFmtId="49" fontId="112" fillId="0" borderId="31" xfId="0" applyNumberFormat="1" applyFont="1" applyFill="1" applyBorder="1" applyAlignment="1">
      <alignment horizontal="left" vertical="center" wrapText="1" indent="2"/>
    </xf>
    <xf numFmtId="0" fontId="112" fillId="0" borderId="31" xfId="0" applyFont="1" applyFill="1" applyBorder="1" applyAlignment="1">
      <alignment horizontal="center" vertical="center" wrapText="1"/>
    </xf>
    <xf numFmtId="4" fontId="117" fillId="0" borderId="31" xfId="0" applyNumberFormat="1" applyFont="1" applyFill="1" applyBorder="1" applyAlignment="1">
      <alignment horizontal="left" vertical="center" wrapText="1" indent="1"/>
    </xf>
    <xf numFmtId="4" fontId="96" fillId="0" borderId="31" xfId="0" applyNumberFormat="1" applyFont="1" applyFill="1" applyBorder="1" applyAlignment="1">
      <alignment horizontal="right" vertical="center" wrapText="1" indent="1"/>
    </xf>
    <xf numFmtId="4" fontId="104" fillId="0" borderId="31" xfId="8" applyNumberFormat="1" applyFont="1" applyFill="1" applyBorder="1" applyAlignment="1">
      <alignment horizontal="right" vertical="center" wrapText="1" indent="1"/>
    </xf>
    <xf numFmtId="4" fontId="98" fillId="0" borderId="31" xfId="0" applyNumberFormat="1" applyFont="1" applyFill="1" applyBorder="1" applyAlignment="1">
      <alignment horizontal="right" vertical="center" wrapText="1" indent="1"/>
    </xf>
    <xf numFmtId="49" fontId="101" fillId="0" borderId="31" xfId="0" applyNumberFormat="1" applyFont="1" applyFill="1" applyBorder="1" applyAlignment="1">
      <alignment horizontal="center" vertical="center" wrapText="1"/>
    </xf>
    <xf numFmtId="0" fontId="120" fillId="0" borderId="31" xfId="0" applyFont="1" applyFill="1" applyBorder="1" applyAlignment="1">
      <alignment horizontal="left" vertical="center" wrapText="1" indent="1"/>
    </xf>
    <xf numFmtId="0" fontId="117" fillId="0" borderId="31" xfId="0" applyFont="1" applyFill="1" applyBorder="1" applyAlignment="1">
      <alignment horizontal="justify" vertical="center" wrapText="1"/>
    </xf>
    <xf numFmtId="4" fontId="94" fillId="0" borderId="31" xfId="0" applyNumberFormat="1" applyFont="1" applyBorder="1" applyAlignment="1">
      <alignment horizontal="justify" vertical="center" wrapText="1"/>
    </xf>
    <xf numFmtId="4" fontId="94" fillId="0" borderId="31" xfId="0" applyNumberFormat="1" applyFont="1" applyFill="1" applyBorder="1" applyAlignment="1">
      <alignment horizontal="justify" vertical="center" wrapText="1"/>
    </xf>
    <xf numFmtId="4" fontId="94" fillId="0" borderId="31" xfId="0" applyNumberFormat="1" applyFont="1" applyBorder="1" applyAlignment="1">
      <alignment horizontal="left" vertical="center" wrapText="1" indent="1"/>
    </xf>
    <xf numFmtId="0" fontId="98" fillId="0" borderId="31" xfId="0" applyFont="1" applyBorder="1" applyAlignment="1">
      <alignment horizontal="center" vertical="center" wrapText="1"/>
    </xf>
    <xf numFmtId="49" fontId="107" fillId="65" borderId="31" xfId="9" applyNumberFormat="1" applyFont="1" applyFill="1" applyBorder="1" applyAlignment="1">
      <alignment horizontal="center" vertical="center" wrapText="1"/>
    </xf>
    <xf numFmtId="0" fontId="109" fillId="65" borderId="31" xfId="8" applyFont="1" applyFill="1" applyBorder="1" applyAlignment="1">
      <alignment horizontal="justify" vertical="center" wrapText="1"/>
    </xf>
    <xf numFmtId="0" fontId="112" fillId="65" borderId="31" xfId="8" applyFont="1" applyFill="1" applyBorder="1" applyAlignment="1">
      <alignment horizontal="justify" vertical="center" wrapText="1"/>
    </xf>
    <xf numFmtId="0" fontId="108" fillId="65" borderId="31" xfId="8" applyFont="1" applyFill="1" applyBorder="1" applyAlignment="1">
      <alignment horizontal="center" vertical="center" wrapText="1"/>
    </xf>
    <xf numFmtId="0" fontId="109" fillId="65" borderId="31" xfId="762" applyFont="1" applyFill="1" applyBorder="1" applyAlignment="1">
      <alignment horizontal="right" vertical="center" wrapText="1" indent="1"/>
    </xf>
    <xf numFmtId="4" fontId="108" fillId="0" borderId="31" xfId="8" applyNumberFormat="1" applyFont="1" applyFill="1" applyBorder="1" applyAlignment="1">
      <alignment horizontal="right" vertical="center" wrapText="1" indent="1"/>
    </xf>
    <xf numFmtId="0" fontId="108" fillId="0" borderId="31" xfId="762" applyFont="1" applyFill="1" applyBorder="1" applyAlignment="1">
      <alignment horizontal="right" vertical="center" wrapText="1" indent="1"/>
    </xf>
    <xf numFmtId="0" fontId="94" fillId="65" borderId="31" xfId="0" quotePrefix="1" applyFont="1" applyFill="1" applyBorder="1" applyAlignment="1">
      <alignment horizontal="justify" vertical="center" wrapText="1"/>
    </xf>
    <xf numFmtId="49" fontId="112" fillId="0" borderId="31" xfId="9" applyNumberFormat="1" applyFont="1" applyFill="1" applyBorder="1" applyAlignment="1">
      <alignment horizontal="right" vertical="center" wrapText="1"/>
    </xf>
    <xf numFmtId="0" fontId="112" fillId="0" borderId="31" xfId="8" applyFont="1" applyFill="1" applyBorder="1" applyAlignment="1">
      <alignment horizontal="left" vertical="center" wrapText="1"/>
    </xf>
    <xf numFmtId="0" fontId="112" fillId="0" borderId="31" xfId="8" applyFont="1" applyFill="1" applyBorder="1" applyAlignment="1">
      <alignment horizontal="left" vertical="center" wrapText="1" indent="1"/>
    </xf>
    <xf numFmtId="0" fontId="125" fillId="0" borderId="31" xfId="8" applyFont="1" applyFill="1" applyBorder="1" applyAlignment="1">
      <alignment horizontal="center" vertical="center" wrapText="1"/>
    </xf>
    <xf numFmtId="4" fontId="123" fillId="0" borderId="31" xfId="762" applyNumberFormat="1" applyFont="1" applyFill="1" applyBorder="1" applyAlignment="1">
      <alignment horizontal="right" vertical="center" wrapText="1" indent="1"/>
    </xf>
    <xf numFmtId="4" fontId="141" fillId="0" borderId="31" xfId="762" applyNumberFormat="1" applyFont="1" applyFill="1" applyBorder="1" applyAlignment="1">
      <alignment horizontal="right" vertical="center" wrapText="1" indent="1"/>
    </xf>
    <xf numFmtId="0" fontId="108" fillId="65" borderId="31" xfId="8" applyFont="1" applyFill="1" applyBorder="1" applyAlignment="1">
      <alignment horizontal="justify" vertical="center" wrapText="1"/>
    </xf>
    <xf numFmtId="4" fontId="109" fillId="65" borderId="31" xfId="762" applyNumberFormat="1" applyFont="1" applyFill="1" applyBorder="1" applyAlignment="1">
      <alignment horizontal="justify" vertical="center" wrapText="1"/>
    </xf>
    <xf numFmtId="4" fontId="108" fillId="0" borderId="31" xfId="8" applyNumberFormat="1" applyFont="1" applyFill="1" applyBorder="1" applyAlignment="1">
      <alignment horizontal="justify" vertical="center" wrapText="1"/>
    </xf>
    <xf numFmtId="4" fontId="108" fillId="0" borderId="31" xfId="762" applyNumberFormat="1" applyFont="1" applyFill="1" applyBorder="1" applyAlignment="1">
      <alignment horizontal="justify" vertical="center" wrapText="1"/>
    </xf>
    <xf numFmtId="49" fontId="108" fillId="0" borderId="31" xfId="9" applyNumberFormat="1" applyFont="1" applyFill="1" applyBorder="1" applyAlignment="1">
      <alignment horizontal="right" vertical="center" wrapText="1"/>
    </xf>
    <xf numFmtId="0" fontId="108" fillId="0" borderId="31" xfId="8" applyFont="1" applyFill="1" applyBorder="1" applyAlignment="1">
      <alignment horizontal="left" vertical="center" wrapText="1"/>
    </xf>
    <xf numFmtId="0" fontId="108" fillId="0" borderId="31" xfId="8" applyFont="1" applyFill="1" applyBorder="1" applyAlignment="1">
      <alignment horizontal="left" vertical="center" wrapText="1" indent="1"/>
    </xf>
    <xf numFmtId="0" fontId="126" fillId="0" borderId="31" xfId="8" applyFont="1" applyFill="1" applyBorder="1" applyAlignment="1">
      <alignment horizontal="center" vertical="center" wrapText="1"/>
    </xf>
    <xf numFmtId="0" fontId="108" fillId="0" borderId="31" xfId="8" applyFont="1" applyBorder="1" applyAlignment="1">
      <alignment horizontal="left" vertical="center" wrapText="1" indent="1"/>
    </xf>
    <xf numFmtId="4" fontId="108" fillId="65" borderId="31" xfId="762" applyNumberFormat="1" applyFont="1" applyFill="1" applyBorder="1" applyAlignment="1">
      <alignment horizontal="justify" vertical="center" wrapText="1"/>
    </xf>
    <xf numFmtId="0" fontId="108" fillId="0" borderId="31" xfId="8" applyFont="1" applyFill="1" applyBorder="1" applyAlignment="1">
      <alignment horizontal="center" vertical="center" wrapText="1"/>
    </xf>
    <xf numFmtId="0" fontId="112" fillId="65" borderId="31" xfId="0" applyFont="1" applyFill="1" applyBorder="1" applyAlignment="1">
      <alignment horizontal="center" vertical="center" wrapText="1"/>
    </xf>
    <xf numFmtId="49" fontId="104" fillId="0" borderId="31" xfId="9" applyNumberFormat="1" applyFont="1" applyFill="1" applyBorder="1" applyAlignment="1">
      <alignment horizontal="center" vertical="center" wrapText="1"/>
    </xf>
    <xf numFmtId="0" fontId="112" fillId="0" borderId="31" xfId="0" applyFont="1" applyBorder="1" applyAlignment="1">
      <alignment horizontal="justify" vertical="center" wrapText="1"/>
    </xf>
    <xf numFmtId="49" fontId="108" fillId="0" borderId="31" xfId="9" applyNumberFormat="1" applyFont="1" applyFill="1" applyBorder="1" applyAlignment="1">
      <alignment horizontal="right" vertical="center"/>
    </xf>
    <xf numFmtId="0" fontId="112" fillId="0" borderId="31" xfId="0" applyFont="1" applyBorder="1" applyAlignment="1">
      <alignment horizontal="center" vertical="center" wrapText="1"/>
    </xf>
    <xf numFmtId="4" fontId="123" fillId="0" borderId="31" xfId="8" applyNumberFormat="1" applyFont="1" applyFill="1" applyBorder="1" applyAlignment="1">
      <alignment horizontal="right" vertical="center" wrapText="1" indent="1"/>
    </xf>
    <xf numFmtId="0" fontId="113" fillId="0" borderId="31" xfId="0" applyFont="1" applyBorder="1" applyAlignment="1">
      <alignment horizontal="left" vertical="center" wrapText="1" indent="1"/>
    </xf>
    <xf numFmtId="0" fontId="108" fillId="0" borderId="31" xfId="8" applyFont="1" applyFill="1" applyBorder="1" applyAlignment="1">
      <alignment horizontal="justify" vertical="center" wrapText="1"/>
    </xf>
    <xf numFmtId="0" fontId="121" fillId="65" borderId="31" xfId="0" applyFont="1" applyFill="1" applyBorder="1" applyAlignment="1">
      <alignment horizontal="justify" vertical="center" wrapText="1"/>
    </xf>
    <xf numFmtId="0" fontId="112" fillId="65" borderId="31" xfId="0" applyFont="1" applyFill="1" applyBorder="1" applyAlignment="1">
      <alignment horizontal="justify" vertical="center" wrapText="1"/>
    </xf>
    <xf numFmtId="0" fontId="95" fillId="65" borderId="31" xfId="0" applyFont="1" applyFill="1" applyBorder="1" applyAlignment="1">
      <alignment horizontal="center"/>
    </xf>
    <xf numFmtId="0" fontId="119" fillId="65" borderId="31" xfId="0" applyFont="1" applyFill="1" applyBorder="1" applyAlignment="1">
      <alignment horizontal="center"/>
    </xf>
    <xf numFmtId="0" fontId="116" fillId="65" borderId="31" xfId="0" quotePrefix="1" applyFont="1" applyFill="1" applyBorder="1" applyAlignment="1">
      <alignment horizontal="justify" vertical="center" wrapText="1"/>
    </xf>
    <xf numFmtId="0" fontId="112" fillId="0" borderId="31" xfId="0" applyFont="1" applyBorder="1" applyAlignment="1">
      <alignment horizontal="left" vertical="center" wrapText="1" indent="1"/>
    </xf>
    <xf numFmtId="4" fontId="99" fillId="65" borderId="31" xfId="8" applyNumberFormat="1" applyFont="1" applyFill="1" applyBorder="1" applyAlignment="1">
      <alignment horizontal="center" vertical="center" wrapText="1"/>
    </xf>
    <xf numFmtId="4" fontId="118" fillId="65" borderId="31" xfId="8" applyNumberFormat="1" applyFont="1" applyFill="1" applyBorder="1" applyAlignment="1">
      <alignment horizontal="center" vertical="center" wrapText="1"/>
    </xf>
    <xf numFmtId="4" fontId="112" fillId="0" borderId="31" xfId="0" applyNumberFormat="1" applyFont="1" applyBorder="1" applyAlignment="1">
      <alignment horizontal="justify" vertical="center" wrapText="1"/>
    </xf>
    <xf numFmtId="49" fontId="126" fillId="0" borderId="31" xfId="9" applyNumberFormat="1" applyFont="1" applyFill="1" applyBorder="1" applyAlignment="1">
      <alignment horizontal="right" vertical="center" wrapText="1"/>
    </xf>
    <xf numFmtId="43" fontId="112" fillId="0" borderId="31" xfId="3225" applyFont="1" applyBorder="1" applyAlignment="1">
      <alignment horizontal="justify" vertical="center" wrapText="1"/>
    </xf>
    <xf numFmtId="43" fontId="112" fillId="0" borderId="31" xfId="0" applyNumberFormat="1" applyFont="1" applyBorder="1" applyAlignment="1">
      <alignment horizontal="justify" vertical="center" wrapText="1"/>
    </xf>
    <xf numFmtId="4" fontId="108" fillId="65" borderId="31" xfId="8" applyNumberFormat="1" applyFont="1" applyFill="1" applyBorder="1" applyAlignment="1">
      <alignment horizontal="center" vertical="center" wrapText="1"/>
    </xf>
    <xf numFmtId="0" fontId="94" fillId="0" borderId="31" xfId="0" applyFont="1" applyBorder="1" applyAlignment="1">
      <alignment horizontal="justify" vertical="center" wrapText="1"/>
    </xf>
    <xf numFmtId="4" fontId="99" fillId="65" borderId="31" xfId="8" applyNumberFormat="1" applyFont="1" applyFill="1" applyBorder="1" applyAlignment="1">
      <alignment horizontal="right" vertical="center" wrapText="1" indent="1"/>
    </xf>
    <xf numFmtId="4" fontId="118" fillId="65" borderId="31" xfId="8" applyNumberFormat="1" applyFont="1" applyFill="1" applyBorder="1" applyAlignment="1">
      <alignment horizontal="right" vertical="center" wrapText="1" indent="1"/>
    </xf>
    <xf numFmtId="0" fontId="94" fillId="65" borderId="31" xfId="0" applyFont="1" applyFill="1" applyBorder="1" applyAlignment="1">
      <alignment horizontal="justify" vertical="center" wrapText="1"/>
    </xf>
    <xf numFmtId="0" fontId="94" fillId="0" borderId="31" xfId="0" applyFont="1" applyBorder="1" applyAlignment="1">
      <alignment horizontal="left" vertical="center" wrapText="1" indent="1"/>
    </xf>
    <xf numFmtId="49" fontId="96" fillId="65" borderId="31" xfId="8" applyNumberFormat="1" applyFont="1" applyFill="1" applyBorder="1" applyAlignment="1">
      <alignment horizontal="center" vertical="center" wrapText="1"/>
    </xf>
    <xf numFmtId="49" fontId="96" fillId="65" borderId="31" xfId="0" applyNumberFormat="1" applyFont="1" applyFill="1" applyBorder="1" applyAlignment="1">
      <alignment horizontal="center" vertical="center"/>
    </xf>
    <xf numFmtId="49" fontId="108" fillId="0" borderId="31" xfId="0" applyNumberFormat="1" applyFont="1" applyFill="1" applyBorder="1" applyAlignment="1">
      <alignment horizontal="right" vertical="center" wrapText="1"/>
    </xf>
    <xf numFmtId="49" fontId="107" fillId="65" borderId="31" xfId="0" applyNumberFormat="1" applyFont="1" applyFill="1" applyBorder="1" applyAlignment="1">
      <alignment horizontal="center" vertical="center" wrapText="1"/>
    </xf>
    <xf numFmtId="0" fontId="114" fillId="0" borderId="31" xfId="0" applyFont="1" applyFill="1" applyBorder="1" applyAlignment="1">
      <alignment horizontal="justify" vertical="center" wrapText="1"/>
    </xf>
    <xf numFmtId="49" fontId="96" fillId="0" borderId="31" xfId="0" applyNumberFormat="1" applyFont="1" applyFill="1" applyBorder="1" applyAlignment="1">
      <alignment horizontal="center" vertical="center"/>
    </xf>
    <xf numFmtId="0" fontId="94" fillId="65" borderId="31" xfId="0" applyFont="1" applyFill="1" applyBorder="1" applyAlignment="1">
      <alignment horizontal="left" vertical="center" wrapText="1" indent="1"/>
    </xf>
    <xf numFmtId="49" fontId="121" fillId="0" borderId="31" xfId="0" applyNumberFormat="1" applyFont="1" applyFill="1" applyBorder="1" applyAlignment="1">
      <alignment horizontal="right" vertical="center"/>
    </xf>
    <xf numFmtId="0" fontId="108" fillId="0" borderId="31" xfId="0" applyFont="1" applyFill="1" applyBorder="1" applyAlignment="1">
      <alignment horizontal="justify" vertical="center" wrapText="1"/>
    </xf>
    <xf numFmtId="0" fontId="108" fillId="0" borderId="31" xfId="0" applyFont="1" applyBorder="1" applyAlignment="1">
      <alignment horizontal="justify" vertical="center" wrapText="1"/>
    </xf>
    <xf numFmtId="0" fontId="108" fillId="0" borderId="31" xfId="0" applyFont="1" applyBorder="1" applyAlignment="1">
      <alignment horizontal="center" vertical="center" wrapText="1"/>
    </xf>
    <xf numFmtId="0" fontId="94" fillId="0" borderId="31" xfId="0" applyFont="1" applyFill="1" applyBorder="1" applyAlignment="1">
      <alignment horizontal="left" vertical="center" wrapText="1" indent="1"/>
    </xf>
    <xf numFmtId="4" fontId="123" fillId="0" borderId="31" xfId="8" applyNumberFormat="1" applyFont="1" applyFill="1" applyBorder="1" applyAlignment="1">
      <alignment vertical="center" wrapText="1"/>
    </xf>
    <xf numFmtId="4" fontId="141" fillId="0" borderId="31" xfId="8" applyNumberFormat="1" applyFont="1" applyFill="1" applyBorder="1" applyAlignment="1">
      <alignment vertical="center" wrapText="1"/>
    </xf>
    <xf numFmtId="49" fontId="128" fillId="0" borderId="31" xfId="0" applyNumberFormat="1" applyFont="1" applyFill="1" applyBorder="1" applyAlignment="1">
      <alignment horizontal="right" vertical="center"/>
    </xf>
    <xf numFmtId="4" fontId="123" fillId="0" borderId="31" xfId="0" applyNumberFormat="1" applyFont="1" applyBorder="1" applyAlignment="1">
      <alignment horizontal="center" vertical="center"/>
    </xf>
    <xf numFmtId="4" fontId="141" fillId="0" borderId="31" xfId="8" applyNumberFormat="1" applyFont="1" applyFill="1" applyBorder="1" applyAlignment="1">
      <alignment horizontal="center" vertical="center" wrapText="1"/>
    </xf>
    <xf numFmtId="4" fontId="99" fillId="0" borderId="31" xfId="0" applyNumberFormat="1" applyFont="1" applyBorder="1" applyAlignment="1">
      <alignment horizontal="center" vertical="center"/>
    </xf>
    <xf numFmtId="4" fontId="118" fillId="0" borderId="31" xfId="8" applyNumberFormat="1" applyFont="1" applyFill="1" applyBorder="1" applyAlignment="1">
      <alignment horizontal="right" vertical="center" wrapText="1" indent="1"/>
    </xf>
    <xf numFmtId="4" fontId="118" fillId="0" borderId="31" xfId="8" applyNumberFormat="1" applyFont="1" applyFill="1" applyBorder="1" applyAlignment="1">
      <alignment horizontal="center" vertical="center" wrapText="1"/>
    </xf>
    <xf numFmtId="49" fontId="98" fillId="0" borderId="31" xfId="0" applyNumberFormat="1" applyFont="1" applyFill="1" applyBorder="1" applyAlignment="1">
      <alignment horizontal="center" vertical="center"/>
    </xf>
    <xf numFmtId="49" fontId="98" fillId="65" borderId="31" xfId="0" applyNumberFormat="1" applyFont="1" applyFill="1" applyBorder="1" applyAlignment="1">
      <alignment horizontal="center" vertical="center"/>
    </xf>
    <xf numFmtId="0" fontId="108" fillId="65" borderId="31" xfId="0" applyFont="1" applyFill="1" applyBorder="1" applyAlignment="1">
      <alignment horizontal="justify" vertical="center" wrapText="1"/>
    </xf>
    <xf numFmtId="0" fontId="126" fillId="65" borderId="31" xfId="0" applyFont="1" applyFill="1" applyBorder="1" applyAlignment="1">
      <alignment horizontal="center" vertical="center" wrapText="1"/>
    </xf>
    <xf numFmtId="4" fontId="109" fillId="65" borderId="31" xfId="8" applyNumberFormat="1" applyFont="1" applyFill="1" applyBorder="1" applyAlignment="1">
      <alignment horizontal="right" vertical="center" wrapText="1" indent="1"/>
    </xf>
    <xf numFmtId="4" fontId="108" fillId="65" borderId="31" xfId="8" applyNumberFormat="1" applyFont="1" applyFill="1" applyBorder="1" applyAlignment="1">
      <alignment horizontal="right" vertical="center" wrapText="1" indent="1"/>
    </xf>
    <xf numFmtId="0" fontId="126" fillId="0" borderId="31" xfId="0" applyFont="1" applyBorder="1" applyAlignment="1">
      <alignment horizontal="center" vertical="center" wrapText="1"/>
    </xf>
    <xf numFmtId="0" fontId="125" fillId="0" borderId="31" xfId="0" applyFont="1" applyBorder="1" applyAlignment="1">
      <alignment horizontal="center" vertical="center" wrapText="1"/>
    </xf>
    <xf numFmtId="0" fontId="116" fillId="0" borderId="31" xfId="0" applyFont="1" applyFill="1" applyBorder="1" applyAlignment="1">
      <alignment wrapText="1"/>
    </xf>
    <xf numFmtId="0" fontId="112" fillId="75" borderId="31" xfId="0" applyFont="1" applyFill="1" applyBorder="1" applyAlignment="1">
      <alignment horizontal="center" vertical="center" wrapText="1"/>
    </xf>
    <xf numFmtId="0" fontId="94" fillId="0" borderId="31" xfId="0" applyFont="1" applyFill="1" applyBorder="1" applyAlignment="1">
      <alignment horizontal="justify" vertical="center" wrapText="1"/>
    </xf>
    <xf numFmtId="0" fontId="94" fillId="0" borderId="31" xfId="0" applyFont="1" applyFill="1" applyBorder="1" applyAlignment="1">
      <alignment horizontal="justify" vertical="top" wrapText="1"/>
    </xf>
    <xf numFmtId="0" fontId="112" fillId="65" borderId="31" xfId="0" applyFont="1" applyFill="1" applyBorder="1" applyAlignment="1">
      <alignment horizontal="left" vertical="center" wrapText="1" indent="1"/>
    </xf>
    <xf numFmtId="49" fontId="112" fillId="0" borderId="31" xfId="0" applyNumberFormat="1" applyFont="1" applyBorder="1" applyAlignment="1" applyProtection="1">
      <alignment horizontal="right" vertical="center"/>
      <protection locked="0"/>
    </xf>
    <xf numFmtId="0" fontId="112" fillId="69" borderId="31" xfId="0" applyFont="1" applyFill="1" applyBorder="1" applyAlignment="1">
      <alignment horizontal="justify" vertical="center" wrapText="1"/>
    </xf>
    <xf numFmtId="49" fontId="98" fillId="0" borderId="31" xfId="0" applyNumberFormat="1" applyFont="1" applyBorder="1" applyAlignment="1" applyProtection="1">
      <alignment horizontal="center" vertical="center"/>
      <protection locked="0"/>
    </xf>
    <xf numFmtId="49" fontId="98" fillId="73" borderId="31" xfId="0" applyNumberFormat="1" applyFont="1" applyFill="1" applyBorder="1" applyAlignment="1" applyProtection="1">
      <alignment horizontal="center" vertical="center"/>
      <protection locked="0"/>
    </xf>
    <xf numFmtId="4" fontId="99" fillId="73" borderId="31" xfId="8" applyNumberFormat="1" applyFont="1" applyFill="1" applyBorder="1" applyAlignment="1">
      <alignment horizontal="right" vertical="center" wrapText="1" indent="1"/>
    </xf>
    <xf numFmtId="0" fontId="94" fillId="73" borderId="31" xfId="0" applyFont="1" applyFill="1" applyBorder="1" applyAlignment="1">
      <alignment horizontal="justify" vertical="center" wrapText="1"/>
    </xf>
    <xf numFmtId="0" fontId="108" fillId="0" borderId="31" xfId="1" applyFont="1" applyBorder="1" applyAlignment="1" applyProtection="1">
      <alignment horizontal="center" vertical="center"/>
      <protection locked="0"/>
    </xf>
    <xf numFmtId="0" fontId="108" fillId="0" borderId="31" xfId="1" applyFont="1" applyBorder="1" applyAlignment="1" applyProtection="1">
      <alignment horizontal="justify" vertical="center" wrapText="1"/>
      <protection locked="0"/>
    </xf>
    <xf numFmtId="0" fontId="117" fillId="0" borderId="31" xfId="0" applyFont="1" applyBorder="1" applyAlignment="1">
      <alignment horizontal="justify" vertical="center" wrapText="1"/>
    </xf>
    <xf numFmtId="0" fontId="99" fillId="66" borderId="31" xfId="9" applyFont="1" applyFill="1" applyBorder="1" applyAlignment="1">
      <alignment vertical="center" wrapText="1"/>
    </xf>
    <xf numFmtId="0" fontId="95" fillId="66" borderId="31" xfId="0" applyFont="1" applyFill="1" applyBorder="1" applyAlignment="1">
      <alignment horizontal="center" vertical="center" wrapText="1"/>
    </xf>
    <xf numFmtId="0" fontId="108" fillId="0" borderId="31" xfId="1" applyFont="1" applyFill="1" applyBorder="1" applyAlignment="1">
      <alignment horizontal="justify" vertical="center" wrapText="1"/>
    </xf>
    <xf numFmtId="0" fontId="117" fillId="0" borderId="31" xfId="1" applyFont="1" applyFill="1" applyBorder="1" applyAlignment="1" applyProtection="1">
      <alignment horizontal="justify" vertical="center" wrapText="1"/>
      <protection locked="0"/>
    </xf>
    <xf numFmtId="0" fontId="104" fillId="0" borderId="31" xfId="8" applyFont="1" applyFill="1" applyBorder="1" applyAlignment="1">
      <alignment horizontal="center" vertical="center" wrapText="1"/>
    </xf>
    <xf numFmtId="4" fontId="92" fillId="0" borderId="31" xfId="0" applyNumberFormat="1" applyFont="1" applyFill="1" applyBorder="1" applyAlignment="1">
      <alignment horizontal="right" vertical="center" wrapText="1" indent="1"/>
    </xf>
    <xf numFmtId="4" fontId="106" fillId="0" borderId="31" xfId="0" applyNumberFormat="1" applyFont="1" applyFill="1" applyBorder="1" applyAlignment="1">
      <alignment horizontal="right" vertical="center" wrapText="1" indent="1"/>
    </xf>
    <xf numFmtId="0" fontId="94" fillId="0" borderId="31" xfId="8" applyFont="1" applyBorder="1" applyAlignment="1">
      <alignment horizontal="justify" vertical="center" wrapText="1"/>
    </xf>
    <xf numFmtId="0" fontId="112" fillId="0" borderId="31" xfId="0" applyNumberFormat="1" applyFont="1" applyFill="1" applyBorder="1" applyAlignment="1">
      <alignment horizontal="justify" vertical="center" wrapText="1"/>
    </xf>
    <xf numFmtId="0" fontId="108" fillId="0" borderId="31" xfId="0" applyFont="1" applyFill="1" applyBorder="1" applyAlignment="1">
      <alignment horizontal="center" vertical="center" wrapText="1"/>
    </xf>
    <xf numFmtId="4" fontId="123" fillId="0" borderId="31" xfId="0" applyNumberFormat="1" applyFont="1" applyBorder="1" applyAlignment="1">
      <alignment horizontal="right" vertical="center" wrapText="1" indent="1"/>
    </xf>
    <xf numFmtId="4" fontId="117" fillId="0" borderId="31" xfId="0" applyNumberFormat="1" applyFont="1" applyFill="1" applyBorder="1" applyAlignment="1">
      <alignment horizontal="justify" vertical="center" wrapText="1"/>
    </xf>
    <xf numFmtId="49" fontId="102" fillId="65" borderId="31" xfId="0" applyNumberFormat="1" applyFont="1" applyFill="1" applyBorder="1" applyAlignment="1">
      <alignment horizontal="center" vertical="center" wrapText="1"/>
    </xf>
    <xf numFmtId="0" fontId="98" fillId="65" borderId="31" xfId="0" applyFont="1" applyFill="1" applyBorder="1" applyAlignment="1">
      <alignment horizontal="center" vertical="center" wrapText="1"/>
    </xf>
    <xf numFmtId="49" fontId="98" fillId="0" borderId="31" xfId="0" applyNumberFormat="1" applyFont="1" applyFill="1" applyBorder="1" applyAlignment="1">
      <alignment horizontal="center" vertical="center" wrapText="1"/>
    </xf>
    <xf numFmtId="0" fontId="117" fillId="0" borderId="31" xfId="0" applyFont="1" applyBorder="1" applyAlignment="1">
      <alignment horizontal="center" vertical="center" wrapText="1"/>
    </xf>
    <xf numFmtId="4" fontId="108" fillId="0" borderId="31" xfId="0" applyNumberFormat="1" applyFont="1" applyFill="1" applyBorder="1" applyAlignment="1">
      <alignment horizontal="justify" vertical="center" wrapText="1"/>
    </xf>
    <xf numFmtId="0" fontId="101" fillId="0" borderId="31" xfId="0" applyFont="1" applyBorder="1" applyAlignment="1">
      <alignment horizontal="center" vertical="center" wrapText="1"/>
    </xf>
    <xf numFmtId="0" fontId="104" fillId="0" borderId="31" xfId="0" applyFont="1" applyBorder="1" applyAlignment="1">
      <alignment horizontal="center" vertical="center" wrapText="1"/>
    </xf>
    <xf numFmtId="49" fontId="101" fillId="65" borderId="31" xfId="0" applyNumberFormat="1" applyFont="1" applyFill="1" applyBorder="1" applyAlignment="1">
      <alignment horizontal="center" vertical="center" wrapText="1"/>
    </xf>
    <xf numFmtId="0" fontId="104" fillId="65" borderId="31" xfId="8" applyFont="1" applyFill="1" applyBorder="1" applyAlignment="1">
      <alignment vertical="center" wrapText="1"/>
    </xf>
    <xf numFmtId="0" fontId="99" fillId="65" borderId="31" xfId="8" applyFont="1" applyFill="1" applyBorder="1" applyAlignment="1">
      <alignment vertical="center" wrapText="1"/>
    </xf>
    <xf numFmtId="0" fontId="118" fillId="65" borderId="31" xfId="8" applyFont="1" applyFill="1" applyBorder="1" applyAlignment="1">
      <alignment vertical="center" wrapText="1"/>
    </xf>
    <xf numFmtId="0" fontId="92" fillId="65" borderId="31" xfId="8" applyFont="1" applyFill="1" applyBorder="1" applyAlignment="1">
      <alignment horizontal="justify" vertical="center" wrapText="1"/>
    </xf>
    <xf numFmtId="0" fontId="98" fillId="0" borderId="31" xfId="8" applyFont="1" applyBorder="1" applyAlignment="1">
      <alignment horizontal="justify" vertical="center" wrapText="1"/>
    </xf>
    <xf numFmtId="4" fontId="92" fillId="0" borderId="31" xfId="0" applyNumberFormat="1" applyFont="1" applyBorder="1" applyAlignment="1">
      <alignment horizontal="justify" vertical="center" wrapText="1"/>
    </xf>
    <xf numFmtId="0" fontId="98" fillId="65" borderId="31" xfId="0" applyFont="1" applyFill="1" applyBorder="1" applyAlignment="1">
      <alignment horizontal="justify" vertical="center" wrapText="1"/>
    </xf>
    <xf numFmtId="49" fontId="104" fillId="0" borderId="31" xfId="9" applyNumberFormat="1" applyFont="1" applyFill="1" applyBorder="1" applyAlignment="1">
      <alignment horizontal="center" vertical="center"/>
    </xf>
    <xf numFmtId="0" fontId="92" fillId="0" borderId="31" xfId="0" applyFont="1" applyBorder="1" applyAlignment="1">
      <alignment horizontal="justify" vertical="center" wrapText="1"/>
    </xf>
    <xf numFmtId="49" fontId="104" fillId="69" borderId="31" xfId="9" applyNumberFormat="1" applyFont="1" applyFill="1" applyBorder="1" applyAlignment="1">
      <alignment horizontal="center" vertical="center"/>
    </xf>
    <xf numFmtId="0" fontId="92" fillId="0" borderId="31" xfId="0" applyFont="1" applyBorder="1" applyAlignment="1">
      <alignment horizontal="left" vertical="center" wrapText="1" indent="1"/>
    </xf>
    <xf numFmtId="0" fontId="112" fillId="0" borderId="31" xfId="1" applyFont="1" applyFill="1" applyBorder="1" applyAlignment="1">
      <alignment horizontal="justify" vertical="center" wrapText="1"/>
    </xf>
    <xf numFmtId="4" fontId="94" fillId="0" borderId="31" xfId="0" applyNumberFormat="1" applyFont="1" applyFill="1" applyBorder="1" applyAlignment="1" applyProtection="1">
      <alignment horizontal="justify" vertical="center" wrapText="1"/>
      <protection locked="0"/>
    </xf>
    <xf numFmtId="0" fontId="112" fillId="0" borderId="31" xfId="0" applyFont="1" applyFill="1" applyBorder="1" applyAlignment="1">
      <alignment horizontal="justify" wrapText="1"/>
    </xf>
    <xf numFmtId="4" fontId="108" fillId="0" borderId="31" xfId="0" applyNumberFormat="1" applyFont="1" applyFill="1" applyBorder="1" applyAlignment="1" applyProtection="1">
      <alignment horizontal="justify" vertical="center" wrapText="1"/>
      <protection locked="0"/>
    </xf>
    <xf numFmtId="0" fontId="104" fillId="0" borderId="31" xfId="0" applyFont="1" applyFill="1" applyBorder="1" applyAlignment="1">
      <alignment horizontal="center" vertical="center" wrapText="1"/>
    </xf>
    <xf numFmtId="0" fontId="108" fillId="0" borderId="31" xfId="0" applyFont="1" applyFill="1" applyBorder="1" applyAlignment="1">
      <alignment horizontal="justify" wrapText="1"/>
    </xf>
    <xf numFmtId="49" fontId="98" fillId="65" borderId="31" xfId="0" applyNumberFormat="1" applyFont="1" applyFill="1" applyBorder="1" applyAlignment="1" applyProtection="1">
      <alignment horizontal="center" vertical="center"/>
      <protection locked="0"/>
    </xf>
    <xf numFmtId="49" fontId="112" fillId="65" borderId="31" xfId="0" applyNumberFormat="1" applyFont="1" applyFill="1" applyBorder="1" applyAlignment="1" applyProtection="1">
      <alignment horizontal="justify" vertical="center"/>
      <protection locked="0"/>
    </xf>
    <xf numFmtId="49" fontId="121" fillId="65" borderId="31" xfId="0" applyNumberFormat="1" applyFont="1" applyFill="1" applyBorder="1" applyAlignment="1" applyProtection="1">
      <alignment horizontal="justify" vertical="center"/>
      <protection locked="0"/>
    </xf>
    <xf numFmtId="49" fontId="95" fillId="65" borderId="31" xfId="0" applyNumberFormat="1" applyFont="1" applyFill="1" applyBorder="1" applyAlignment="1" applyProtection="1">
      <alignment horizontal="left" vertical="center"/>
      <protection locked="0"/>
    </xf>
    <xf numFmtId="49" fontId="112" fillId="0" borderId="31" xfId="0" applyNumberFormat="1" applyFont="1" applyFill="1" applyBorder="1" applyAlignment="1" applyProtection="1">
      <alignment horizontal="right" vertical="center"/>
      <protection locked="0"/>
    </xf>
    <xf numFmtId="49" fontId="123" fillId="0" borderId="31" xfId="0" applyNumberFormat="1" applyFont="1" applyFill="1" applyBorder="1" applyAlignment="1" applyProtection="1">
      <alignment horizontal="left" vertical="center"/>
      <protection locked="0"/>
    </xf>
    <xf numFmtId="49" fontId="95" fillId="0" borderId="31" xfId="0" applyNumberFormat="1" applyFont="1" applyFill="1" applyBorder="1" applyAlignment="1" applyProtection="1">
      <alignment horizontal="left" vertical="center"/>
      <protection locked="0"/>
    </xf>
    <xf numFmtId="2" fontId="123" fillId="0" borderId="31" xfId="0" applyNumberFormat="1" applyFont="1" applyFill="1" applyBorder="1" applyAlignment="1" applyProtection="1">
      <alignment horizontal="right" vertical="center"/>
      <protection locked="0"/>
    </xf>
    <xf numFmtId="49" fontId="98" fillId="0" borderId="31" xfId="0" applyNumberFormat="1" applyFont="1" applyFill="1" applyBorder="1" applyAlignment="1" applyProtection="1">
      <alignment horizontal="right" vertical="center"/>
      <protection locked="0"/>
    </xf>
    <xf numFmtId="4" fontId="104" fillId="0" borderId="31" xfId="0" applyNumberFormat="1" applyFont="1" applyFill="1" applyBorder="1" applyAlignment="1" applyProtection="1">
      <alignment horizontal="left" vertical="center" wrapText="1" indent="1"/>
      <protection locked="0"/>
    </xf>
    <xf numFmtId="49" fontId="98" fillId="0" borderId="31" xfId="0" applyNumberFormat="1" applyFont="1" applyFill="1" applyBorder="1" applyAlignment="1" applyProtection="1">
      <alignment horizontal="center" vertical="center"/>
      <protection locked="0"/>
    </xf>
    <xf numFmtId="0" fontId="117" fillId="65" borderId="31" xfId="0" applyFont="1" applyFill="1" applyBorder="1" applyAlignment="1">
      <alignment horizontal="justify" vertical="center" wrapText="1"/>
    </xf>
    <xf numFmtId="0" fontId="104" fillId="65" borderId="31" xfId="8" applyFont="1" applyFill="1" applyBorder="1" applyAlignment="1">
      <alignment horizontal="center" vertical="center" wrapText="1"/>
    </xf>
    <xf numFmtId="4" fontId="95" fillId="65" borderId="31" xfId="3226" applyNumberFormat="1" applyFont="1" applyFill="1" applyBorder="1" applyAlignment="1" applyProtection="1">
      <alignment horizontal="right" vertical="center" indent="1"/>
      <protection locked="0"/>
    </xf>
    <xf numFmtId="4" fontId="118" fillId="65" borderId="31" xfId="0" applyNumberFormat="1" applyFont="1" applyFill="1" applyBorder="1" applyAlignment="1">
      <alignment horizontal="right" vertical="center" wrapText="1" indent="1"/>
    </xf>
    <xf numFmtId="4" fontId="104" fillId="65" borderId="31" xfId="0" applyNumberFormat="1" applyFont="1" applyFill="1" applyBorder="1" applyAlignment="1" applyProtection="1">
      <alignment horizontal="left" vertical="center" wrapText="1" indent="1"/>
      <protection locked="0"/>
    </xf>
    <xf numFmtId="49" fontId="98" fillId="69" borderId="31" xfId="0" applyNumberFormat="1" applyFont="1" applyFill="1" applyBorder="1" applyAlignment="1" applyProtection="1">
      <alignment horizontal="center" vertical="center"/>
      <protection locked="0"/>
    </xf>
    <xf numFmtId="0" fontId="108" fillId="0" borderId="31" xfId="0" applyNumberFormat="1" applyFont="1" applyFill="1" applyBorder="1" applyAlignment="1">
      <alignment horizontal="justify" vertical="center" wrapText="1"/>
    </xf>
    <xf numFmtId="0" fontId="104" fillId="0" borderId="31" xfId="0" applyNumberFormat="1" applyFont="1" applyFill="1" applyBorder="1" applyAlignment="1">
      <alignment horizontal="center" vertical="center" wrapText="1"/>
    </xf>
    <xf numFmtId="4" fontId="107" fillId="65" borderId="31" xfId="8" applyNumberFormat="1" applyFont="1" applyFill="1" applyBorder="1" applyAlignment="1">
      <alignment horizontal="right" vertical="center" wrapText="1" indent="1"/>
    </xf>
    <xf numFmtId="49" fontId="112" fillId="69" borderId="31" xfId="0" applyNumberFormat="1" applyFont="1" applyFill="1" applyBorder="1" applyAlignment="1" applyProtection="1">
      <alignment horizontal="right" vertical="center"/>
      <protection locked="0"/>
    </xf>
    <xf numFmtId="0" fontId="112" fillId="0" borderId="31" xfId="0" applyFont="1" applyBorder="1" applyAlignment="1">
      <alignment horizontal="center" vertical="center"/>
    </xf>
    <xf numFmtId="4" fontId="108" fillId="0" borderId="31" xfId="0" applyNumberFormat="1" applyFont="1" applyBorder="1" applyAlignment="1">
      <alignment horizontal="justify" vertical="center" wrapText="1"/>
    </xf>
    <xf numFmtId="0" fontId="92" fillId="0" borderId="31" xfId="0" applyFont="1" applyFill="1" applyBorder="1" applyAlignment="1">
      <alignment horizontal="left" vertical="center" wrapText="1" indent="1"/>
    </xf>
    <xf numFmtId="4" fontId="92" fillId="0" borderId="31" xfId="0" applyNumberFormat="1" applyFont="1" applyFill="1" applyBorder="1" applyAlignment="1" applyProtection="1">
      <alignment horizontal="left" vertical="center" wrapText="1" indent="1"/>
      <protection locked="0"/>
    </xf>
    <xf numFmtId="4" fontId="123" fillId="0" borderId="31" xfId="8" applyNumberFormat="1" applyFont="1" applyFill="1" applyBorder="1" applyAlignment="1">
      <alignment horizontal="center" vertical="center" wrapText="1"/>
    </xf>
    <xf numFmtId="2" fontId="123" fillId="0" borderId="31" xfId="0" applyNumberFormat="1" applyFont="1" applyFill="1" applyBorder="1" applyAlignment="1">
      <alignment horizontal="right" vertical="center" indent="1"/>
    </xf>
    <xf numFmtId="4" fontId="142" fillId="0" borderId="31" xfId="8" applyNumberFormat="1" applyFont="1" applyFill="1" applyBorder="1" applyAlignment="1">
      <alignment horizontal="right" vertical="center" wrapText="1" indent="1"/>
    </xf>
    <xf numFmtId="4" fontId="143" fillId="0" borderId="31" xfId="8" applyNumberFormat="1" applyFont="1" applyFill="1" applyBorder="1" applyAlignment="1">
      <alignment horizontal="right" vertical="center" wrapText="1" indent="1"/>
    </xf>
    <xf numFmtId="0" fontId="96" fillId="0" borderId="31" xfId="0" applyFont="1" applyFill="1" applyBorder="1" applyAlignment="1">
      <alignment horizontal="center"/>
    </xf>
    <xf numFmtId="0" fontId="98" fillId="0" borderId="31" xfId="0" applyFont="1" applyFill="1" applyBorder="1" applyAlignment="1">
      <alignment horizontal="left" vertical="center" wrapText="1" indent="1"/>
    </xf>
    <xf numFmtId="0" fontId="96" fillId="65" borderId="31" xfId="0" applyFont="1" applyFill="1" applyBorder="1" applyAlignment="1">
      <alignment horizontal="center"/>
    </xf>
    <xf numFmtId="0" fontId="98" fillId="65" borderId="31" xfId="0" applyFont="1" applyFill="1" applyBorder="1" applyAlignment="1">
      <alignment horizontal="center"/>
    </xf>
    <xf numFmtId="0" fontId="98" fillId="65" borderId="31" xfId="0" applyFont="1" applyFill="1" applyBorder="1" applyAlignment="1">
      <alignment horizontal="left" vertical="center" wrapText="1" indent="1"/>
    </xf>
    <xf numFmtId="0" fontId="108" fillId="0" borderId="31" xfId="0" applyFont="1" applyBorder="1" applyAlignment="1">
      <alignment horizontal="justify" wrapText="1"/>
    </xf>
    <xf numFmtId="0" fontId="99" fillId="67" borderId="31" xfId="9" applyFont="1" applyFill="1" applyBorder="1" applyAlignment="1">
      <alignment horizontal="left" vertical="center" indent="1"/>
    </xf>
    <xf numFmtId="0" fontId="109" fillId="67" borderId="31" xfId="9" applyFont="1" applyFill="1" applyBorder="1" applyAlignment="1">
      <alignment horizontal="justify" vertical="center" wrapText="1"/>
    </xf>
    <xf numFmtId="0" fontId="107" fillId="67" borderId="31" xfId="9" applyFont="1" applyFill="1" applyBorder="1" applyAlignment="1">
      <alignment vertical="center" wrapText="1"/>
    </xf>
    <xf numFmtId="0" fontId="99" fillId="68" borderId="31" xfId="9" applyFont="1" applyFill="1" applyBorder="1" applyAlignment="1">
      <alignment horizontal="left" vertical="center" indent="1"/>
    </xf>
    <xf numFmtId="0" fontId="109" fillId="68" borderId="31" xfId="9" applyFont="1" applyFill="1" applyBorder="1" applyAlignment="1">
      <alignment horizontal="justify" vertical="center" wrapText="1"/>
    </xf>
    <xf numFmtId="0" fontId="107" fillId="68" borderId="31" xfId="9" applyFont="1" applyFill="1" applyBorder="1" applyAlignment="1">
      <alignment vertical="center" wrapText="1"/>
    </xf>
    <xf numFmtId="0" fontId="98" fillId="0" borderId="31" xfId="0" applyFont="1" applyBorder="1" applyAlignment="1">
      <alignment horizontal="left" vertical="center" wrapText="1" indent="1"/>
    </xf>
    <xf numFmtId="49" fontId="104" fillId="65" borderId="31" xfId="0" applyNumberFormat="1" applyFont="1" applyFill="1" applyBorder="1" applyAlignment="1">
      <alignment horizontal="center" vertical="center" wrapText="1"/>
    </xf>
    <xf numFmtId="0" fontId="108" fillId="65" borderId="31" xfId="0" applyFont="1" applyFill="1" applyBorder="1" applyAlignment="1">
      <alignment horizontal="left" vertical="center" wrapText="1" indent="1"/>
    </xf>
    <xf numFmtId="0" fontId="107" fillId="65" borderId="31" xfId="0" applyFont="1" applyFill="1" applyBorder="1" applyAlignment="1">
      <alignment horizontal="left" vertical="center" wrapText="1" indent="1"/>
    </xf>
    <xf numFmtId="0" fontId="104" fillId="65" borderId="31" xfId="0" applyFont="1" applyFill="1" applyBorder="1" applyAlignment="1">
      <alignment horizontal="left" vertical="center" wrapText="1" indent="1"/>
    </xf>
    <xf numFmtId="43" fontId="123" fillId="0" borderId="31" xfId="3225" applyFont="1" applyFill="1" applyBorder="1" applyAlignment="1">
      <alignment horizontal="right" vertical="center" wrapText="1" indent="1"/>
    </xf>
    <xf numFmtId="43" fontId="107" fillId="65" borderId="31" xfId="3225" applyFont="1" applyFill="1" applyBorder="1" applyAlignment="1">
      <alignment horizontal="right" vertical="center" wrapText="1" indent="1"/>
    </xf>
    <xf numFmtId="0" fontId="107" fillId="65" borderId="31" xfId="9" applyFont="1" applyFill="1" applyBorder="1" applyAlignment="1">
      <alignment horizontal="left" vertical="center" indent="1"/>
    </xf>
    <xf numFmtId="0" fontId="107" fillId="65" borderId="31" xfId="9" applyFont="1" applyFill="1" applyBorder="1" applyAlignment="1">
      <alignment horizontal="left" vertical="top"/>
    </xf>
    <xf numFmtId="43" fontId="123" fillId="0" borderId="31" xfId="3225" applyFont="1" applyFill="1" applyBorder="1" applyAlignment="1">
      <alignment horizontal="center" vertical="center" wrapText="1"/>
    </xf>
    <xf numFmtId="43" fontId="99" fillId="65" borderId="31" xfId="3225" applyFont="1" applyFill="1" applyBorder="1" applyAlignment="1">
      <alignment horizontal="right" vertical="center" wrapText="1" indent="1"/>
    </xf>
    <xf numFmtId="0" fontId="107" fillId="0" borderId="31" xfId="9" applyFont="1" applyFill="1" applyBorder="1" applyAlignment="1">
      <alignment horizontal="center" vertical="center" wrapText="1"/>
    </xf>
    <xf numFmtId="4" fontId="107" fillId="0" borderId="31" xfId="8" applyNumberFormat="1" applyFont="1" applyFill="1" applyBorder="1" applyAlignment="1">
      <alignment horizontal="center" vertical="center" wrapText="1"/>
    </xf>
    <xf numFmtId="2" fontId="141" fillId="0" borderId="31" xfId="0" applyNumberFormat="1" applyFont="1" applyFill="1" applyBorder="1" applyAlignment="1">
      <alignment horizontal="right" vertical="center" wrapText="1" indent="1"/>
    </xf>
    <xf numFmtId="0" fontId="99" fillId="68" borderId="31" xfId="9" applyFont="1" applyFill="1" applyBorder="1" applyAlignment="1">
      <alignment vertical="center" wrapText="1"/>
    </xf>
    <xf numFmtId="0" fontId="112" fillId="0" borderId="31" xfId="0" applyFont="1" applyFill="1" applyBorder="1" applyAlignment="1">
      <alignment horizontal="justify" vertical="top" wrapText="1"/>
    </xf>
    <xf numFmtId="0" fontId="107" fillId="68" borderId="31" xfId="9" applyFont="1" applyFill="1" applyBorder="1" applyAlignment="1">
      <alignment horizontal="center" vertical="center" wrapText="1"/>
    </xf>
    <xf numFmtId="4" fontId="107" fillId="68" borderId="31" xfId="8" applyNumberFormat="1" applyFont="1" applyFill="1" applyBorder="1" applyAlignment="1">
      <alignment horizontal="right" vertical="center" wrapText="1" indent="1"/>
    </xf>
    <xf numFmtId="4" fontId="107" fillId="68" borderId="31" xfId="8" applyNumberFormat="1" applyFont="1" applyFill="1" applyBorder="1" applyAlignment="1">
      <alignment horizontal="center" vertical="center" wrapText="1"/>
    </xf>
    <xf numFmtId="49" fontId="104" fillId="0" borderId="31" xfId="9" applyNumberFormat="1" applyFont="1" applyFill="1" applyBorder="1" applyAlignment="1">
      <alignment horizontal="left" vertical="center" wrapText="1" indent="1"/>
    </xf>
    <xf numFmtId="0" fontId="108" fillId="0" borderId="31" xfId="9" applyFont="1" applyFill="1" applyBorder="1" applyAlignment="1">
      <alignment horizontal="justify" vertical="center" wrapText="1"/>
    </xf>
    <xf numFmtId="0" fontId="108" fillId="0" borderId="31" xfId="9" applyFont="1" applyFill="1" applyBorder="1" applyAlignment="1">
      <alignment horizontal="left" vertical="center" wrapText="1" indent="1"/>
    </xf>
    <xf numFmtId="2" fontId="141" fillId="0" borderId="31" xfId="0" applyNumberFormat="1" applyFont="1" applyFill="1" applyBorder="1" applyAlignment="1">
      <alignment horizontal="right" vertical="center" indent="1"/>
    </xf>
    <xf numFmtId="0" fontId="121" fillId="0" borderId="31" xfId="0" applyFont="1" applyBorder="1" applyAlignment="1">
      <alignment horizontal="justify" vertical="center" wrapText="1"/>
    </xf>
    <xf numFmtId="2" fontId="141" fillId="0" borderId="31" xfId="6" applyNumberFormat="1" applyFont="1" applyFill="1" applyBorder="1" applyAlignment="1">
      <alignment horizontal="right" vertical="center" indent="1"/>
    </xf>
    <xf numFmtId="0" fontId="107" fillId="68" borderId="31" xfId="9" applyFont="1" applyFill="1" applyBorder="1" applyAlignment="1">
      <alignment horizontal="justify" vertical="center" wrapText="1"/>
    </xf>
    <xf numFmtId="0" fontId="116" fillId="0" borderId="31" xfId="0" applyFont="1" applyBorder="1" applyAlignment="1">
      <alignment horizontal="justify" vertical="center" wrapText="1"/>
    </xf>
    <xf numFmtId="4" fontId="107" fillId="0" borderId="31" xfId="8" applyNumberFormat="1" applyFont="1" applyFill="1" applyBorder="1" applyAlignment="1">
      <alignment horizontal="right" vertical="center" wrapText="1" indent="1"/>
    </xf>
    <xf numFmtId="0" fontId="98" fillId="0" borderId="31" xfId="0" applyFont="1" applyFill="1" applyBorder="1" applyAlignment="1">
      <alignment horizontal="right" vertical="center" wrapText="1" indent="1"/>
    </xf>
    <xf numFmtId="0" fontId="98" fillId="0" borderId="31" xfId="0" applyFont="1" applyBorder="1" applyAlignment="1">
      <alignment horizontal="justify" vertical="center" wrapText="1"/>
    </xf>
    <xf numFmtId="0" fontId="107" fillId="68" borderId="31" xfId="9" applyFont="1" applyFill="1" applyBorder="1" applyAlignment="1">
      <alignment horizontal="left" vertical="center" wrapText="1" indent="1"/>
    </xf>
    <xf numFmtId="0" fontId="107" fillId="65" borderId="31" xfId="9" applyFont="1" applyFill="1" applyBorder="1" applyAlignment="1">
      <alignment horizontal="left" vertical="center" wrapText="1" indent="1"/>
    </xf>
    <xf numFmtId="49" fontId="104" fillId="0" borderId="31" xfId="0" applyNumberFormat="1" applyFont="1" applyFill="1" applyBorder="1" applyAlignment="1">
      <alignment horizontal="center" vertical="center" wrapText="1"/>
    </xf>
    <xf numFmtId="0" fontId="112" fillId="0" borderId="31" xfId="0" applyFont="1" applyFill="1" applyBorder="1" applyAlignment="1">
      <alignment horizontal="justify" vertical="center" wrapText="1"/>
    </xf>
    <xf numFmtId="0" fontId="131" fillId="75" borderId="31" xfId="0" applyFont="1" applyFill="1" applyBorder="1" applyAlignment="1">
      <alignment horizontal="justify" vertical="center" wrapText="1"/>
    </xf>
    <xf numFmtId="0" fontId="132" fillId="72" borderId="31" xfId="0" applyFont="1" applyFill="1" applyBorder="1" applyAlignment="1">
      <alignment horizontal="center" vertical="center" wrapText="1"/>
    </xf>
    <xf numFmtId="0" fontId="133" fillId="72" borderId="31" xfId="0" applyFont="1" applyFill="1" applyBorder="1" applyAlignment="1">
      <alignment horizontal="justify" vertical="center" wrapText="1"/>
    </xf>
    <xf numFmtId="0" fontId="96" fillId="0" borderId="31" xfId="0" applyFont="1" applyFill="1" applyBorder="1" applyAlignment="1">
      <alignment horizontal="justify" vertical="center" wrapText="1"/>
    </xf>
    <xf numFmtId="0" fontId="92" fillId="66" borderId="31" xfId="0" applyFont="1" applyFill="1" applyBorder="1" applyAlignment="1">
      <alignment vertical="top" wrapText="1"/>
    </xf>
    <xf numFmtId="0" fontId="92" fillId="66" borderId="31" xfId="0" applyFont="1" applyFill="1" applyBorder="1" applyAlignment="1">
      <alignment horizontal="justify" vertical="top" wrapText="1"/>
    </xf>
    <xf numFmtId="0" fontId="92" fillId="66" borderId="31" xfId="0" applyFont="1" applyFill="1" applyBorder="1" applyAlignment="1">
      <alignment vertical="center" wrapText="1"/>
    </xf>
    <xf numFmtId="0" fontId="92" fillId="66" borderId="31" xfId="0" applyFont="1" applyFill="1" applyBorder="1" applyAlignment="1">
      <alignment horizontal="justify" vertical="center" wrapText="1"/>
    </xf>
    <xf numFmtId="4" fontId="96" fillId="0" borderId="31" xfId="0" applyNumberFormat="1" applyFont="1" applyFill="1" applyBorder="1" applyAlignment="1">
      <alignment horizontal="justify" vertical="center" wrapText="1"/>
    </xf>
    <xf numFmtId="0" fontId="93" fillId="66" borderId="31" xfId="0" applyFont="1" applyFill="1" applyBorder="1" applyAlignment="1">
      <alignment vertical="center" wrapText="1"/>
    </xf>
    <xf numFmtId="0" fontId="138" fillId="66" borderId="31" xfId="0" applyFont="1" applyFill="1" applyBorder="1" applyAlignment="1">
      <alignment vertical="center" wrapText="1"/>
    </xf>
    <xf numFmtId="0" fontId="96" fillId="0" borderId="31" xfId="0" applyFont="1" applyBorder="1" applyAlignment="1">
      <alignment horizontal="justify" vertical="center" wrapText="1"/>
    </xf>
    <xf numFmtId="49" fontId="109" fillId="75" borderId="31" xfId="8" applyNumberFormat="1" applyFont="1" applyFill="1" applyBorder="1" applyAlignment="1">
      <alignment horizontal="left" vertical="top" wrapText="1"/>
    </xf>
    <xf numFmtId="0" fontId="112" fillId="65" borderId="31" xfId="0" applyFont="1" applyFill="1" applyBorder="1" applyAlignment="1">
      <alignment horizontal="justify" vertical="top" wrapText="1"/>
    </xf>
    <xf numFmtId="4" fontId="109" fillId="65" borderId="31" xfId="8" applyNumberFormat="1" applyFont="1" applyFill="1" applyBorder="1" applyAlignment="1">
      <alignment horizontal="justify" vertical="top" wrapText="1"/>
    </xf>
    <xf numFmtId="4" fontId="109" fillId="65" borderId="31" xfId="8" applyNumberFormat="1" applyFont="1" applyFill="1" applyBorder="1" applyAlignment="1">
      <alignment horizontal="justify" vertical="center" wrapText="1"/>
    </xf>
    <xf numFmtId="4" fontId="109" fillId="65" borderId="31" xfId="8" applyNumberFormat="1" applyFont="1" applyFill="1" applyBorder="1" applyAlignment="1">
      <alignment horizontal="left" vertical="center" wrapText="1"/>
    </xf>
    <xf numFmtId="4" fontId="109" fillId="65" borderId="31" xfId="8" applyNumberFormat="1" applyFont="1" applyFill="1" applyBorder="1" applyAlignment="1">
      <alignment horizontal="left" vertical="top" wrapText="1"/>
    </xf>
    <xf numFmtId="4" fontId="109" fillId="75" borderId="31" xfId="8" applyNumberFormat="1" applyFont="1" applyFill="1" applyBorder="1" applyAlignment="1">
      <alignment horizontal="justify" vertical="center" wrapText="1"/>
    </xf>
    <xf numFmtId="4" fontId="109" fillId="75" borderId="31" xfId="8" applyNumberFormat="1" applyFont="1" applyFill="1" applyBorder="1" applyAlignment="1">
      <alignment horizontal="left" vertical="top" wrapText="1"/>
    </xf>
    <xf numFmtId="4" fontId="99" fillId="65" borderId="31" xfId="8" applyNumberFormat="1" applyFont="1" applyFill="1" applyBorder="1" applyAlignment="1">
      <alignment horizontal="justify" vertical="center" wrapText="1"/>
    </xf>
    <xf numFmtId="4" fontId="109" fillId="75" borderId="31" xfId="8" applyNumberFormat="1" applyFont="1" applyFill="1" applyBorder="1" applyAlignment="1">
      <alignment horizontal="justify" vertical="top" wrapText="1"/>
    </xf>
    <xf numFmtId="4" fontId="108" fillId="75" borderId="31" xfId="8" applyNumberFormat="1" applyFont="1" applyFill="1" applyBorder="1" applyAlignment="1">
      <alignment horizontal="justify" vertical="top" wrapText="1"/>
    </xf>
    <xf numFmtId="4" fontId="109" fillId="75" borderId="31" xfId="0" applyNumberFormat="1" applyFont="1" applyFill="1" applyBorder="1" applyAlignment="1">
      <alignment horizontal="justify" vertical="top" wrapText="1"/>
    </xf>
    <xf numFmtId="4" fontId="109" fillId="75" borderId="31" xfId="0" applyNumberFormat="1" applyFont="1" applyFill="1" applyBorder="1" applyAlignment="1">
      <alignment horizontal="left" vertical="top" wrapText="1"/>
    </xf>
    <xf numFmtId="0" fontId="95" fillId="66" borderId="31" xfId="0" applyFont="1" applyFill="1" applyBorder="1" applyAlignment="1">
      <alignment horizontal="justify" vertical="center" wrapText="1"/>
    </xf>
    <xf numFmtId="4" fontId="120" fillId="75" borderId="31" xfId="0" applyNumberFormat="1" applyFont="1" applyFill="1" applyBorder="1" applyAlignment="1">
      <alignment horizontal="justify" vertical="top" wrapText="1"/>
    </xf>
    <xf numFmtId="4" fontId="121" fillId="75" borderId="31" xfId="8" applyNumberFormat="1" applyFont="1" applyFill="1" applyBorder="1" applyAlignment="1">
      <alignment horizontal="justify" vertical="top" wrapText="1"/>
    </xf>
    <xf numFmtId="4" fontId="109" fillId="0" borderId="31" xfId="8" applyNumberFormat="1" applyFont="1" applyFill="1" applyBorder="1" applyAlignment="1">
      <alignment horizontal="justify" vertical="top" wrapText="1"/>
    </xf>
    <xf numFmtId="4" fontId="109" fillId="75" borderId="31" xfId="762" applyNumberFormat="1" applyFont="1" applyFill="1" applyBorder="1" applyAlignment="1">
      <alignment horizontal="justify" vertical="top" wrapText="1"/>
    </xf>
    <xf numFmtId="0" fontId="100" fillId="66" borderId="31" xfId="0" applyFont="1" applyFill="1" applyBorder="1" applyAlignment="1">
      <alignment vertical="center" wrapText="1"/>
    </xf>
    <xf numFmtId="4" fontId="121" fillId="75" borderId="31" xfId="3226" applyNumberFormat="1" applyFont="1" applyFill="1" applyBorder="1" applyAlignment="1" applyProtection="1">
      <alignment horizontal="justify" vertical="top" wrapText="1"/>
      <protection locked="0"/>
    </xf>
    <xf numFmtId="4" fontId="109" fillId="75" borderId="31" xfId="0" applyNumberFormat="1" applyFont="1" applyFill="1" applyBorder="1" applyAlignment="1">
      <alignment horizontal="justify" vertical="center" wrapText="1"/>
    </xf>
    <xf numFmtId="0" fontId="102" fillId="66" borderId="31" xfId="0" applyFont="1" applyFill="1" applyBorder="1" applyAlignment="1">
      <alignment vertical="center" wrapText="1"/>
    </xf>
    <xf numFmtId="49" fontId="96" fillId="65" borderId="31" xfId="0" applyNumberFormat="1" applyFont="1" applyFill="1" applyBorder="1" applyAlignment="1" applyProtection="1">
      <alignment horizontal="justify" vertical="center"/>
      <protection locked="0"/>
    </xf>
    <xf numFmtId="4" fontId="95" fillId="65" borderId="31" xfId="3226" applyNumberFormat="1" applyFont="1" applyFill="1" applyBorder="1" applyAlignment="1" applyProtection="1">
      <alignment horizontal="justify" vertical="center"/>
      <protection locked="0"/>
    </xf>
    <xf numFmtId="49" fontId="96" fillId="65" borderId="31" xfId="0" applyNumberFormat="1" applyFont="1" applyFill="1" applyBorder="1" applyAlignment="1" applyProtection="1">
      <alignment horizontal="center" vertical="center"/>
      <protection locked="0"/>
    </xf>
    <xf numFmtId="0" fontId="120" fillId="65" borderId="31" xfId="0" applyFont="1" applyFill="1" applyBorder="1" applyAlignment="1">
      <alignment horizontal="justify" vertical="center" wrapText="1"/>
    </xf>
    <xf numFmtId="4" fontId="135" fillId="65" borderId="31" xfId="8" applyNumberFormat="1" applyFont="1" applyFill="1" applyBorder="1" applyAlignment="1">
      <alignment horizontal="justify" vertical="center" wrapText="1"/>
    </xf>
    <xf numFmtId="0" fontId="125" fillId="0" borderId="31" xfId="0" applyFont="1" applyBorder="1" applyAlignment="1">
      <alignment horizontal="center" vertical="center"/>
    </xf>
    <xf numFmtId="0" fontId="126" fillId="65" borderId="31" xfId="8" applyFont="1" applyFill="1" applyBorder="1" applyAlignment="1">
      <alignment horizontal="center" vertical="center" wrapText="1"/>
    </xf>
    <xf numFmtId="0" fontId="125" fillId="0" borderId="31" xfId="0" applyFont="1" applyFill="1" applyBorder="1" applyAlignment="1">
      <alignment horizontal="center" vertical="center" wrapText="1"/>
    </xf>
    <xf numFmtId="0" fontId="139" fillId="0" borderId="31" xfId="0" applyFont="1" applyBorder="1" applyAlignment="1">
      <alignment horizontal="center" vertical="center" wrapText="1"/>
    </xf>
    <xf numFmtId="0" fontId="112" fillId="0" borderId="31" xfId="0" applyFont="1" applyBorder="1" applyAlignment="1">
      <alignment horizontal="justify" vertical="top" wrapText="1"/>
    </xf>
    <xf numFmtId="0" fontId="110" fillId="0" borderId="31" xfId="0" applyFont="1" applyFill="1" applyBorder="1" applyAlignment="1">
      <alignment horizontal="justify" vertical="center"/>
    </xf>
    <xf numFmtId="0" fontId="96" fillId="65" borderId="31" xfId="0" applyFont="1" applyFill="1" applyBorder="1" applyAlignment="1">
      <alignment horizontal="justify"/>
    </xf>
    <xf numFmtId="0" fontId="107" fillId="67" borderId="31" xfId="9" applyFont="1" applyFill="1" applyBorder="1" applyAlignment="1">
      <alignment horizontal="justify" vertical="center" wrapText="1"/>
    </xf>
    <xf numFmtId="49" fontId="109" fillId="75" borderId="31" xfId="3225" applyNumberFormat="1" applyFont="1" applyFill="1" applyBorder="1" applyAlignment="1">
      <alignment horizontal="left" vertical="top" wrapText="1"/>
    </xf>
    <xf numFmtId="49" fontId="109" fillId="75" borderId="31" xfId="3225" applyNumberFormat="1" applyFont="1" applyFill="1" applyBorder="1" applyAlignment="1">
      <alignment horizontal="justify" vertical="top" wrapText="1"/>
    </xf>
    <xf numFmtId="0" fontId="107" fillId="65" borderId="31" xfId="9" applyFont="1" applyFill="1" applyBorder="1" applyAlignment="1">
      <alignment horizontal="justify" vertical="top"/>
    </xf>
    <xf numFmtId="4" fontId="107" fillId="0" borderId="31" xfId="8" applyNumberFormat="1" applyFont="1" applyFill="1" applyBorder="1" applyAlignment="1">
      <alignment horizontal="justify" vertical="center" wrapText="1"/>
    </xf>
    <xf numFmtId="0" fontId="107" fillId="65" borderId="31" xfId="9" applyFont="1" applyFill="1" applyBorder="1" applyAlignment="1">
      <alignment vertical="center" wrapText="1"/>
    </xf>
    <xf numFmtId="0" fontId="107" fillId="68" borderId="31" xfId="9" applyFont="1" applyFill="1" applyBorder="1" applyAlignment="1">
      <alignment horizontal="left" vertical="center" indent="1"/>
    </xf>
    <xf numFmtId="4" fontId="109" fillId="68" borderId="31" xfId="8" applyNumberFormat="1" applyFont="1" applyFill="1" applyBorder="1" applyAlignment="1">
      <alignment horizontal="justify" vertical="center" wrapText="1"/>
    </xf>
    <xf numFmtId="2" fontId="121" fillId="75" borderId="31" xfId="0" applyNumberFormat="1" applyFont="1" applyFill="1" applyBorder="1" applyAlignment="1">
      <alignment horizontal="justify" vertical="top" wrapText="1"/>
    </xf>
    <xf numFmtId="49" fontId="108" fillId="0" borderId="31" xfId="9" applyNumberFormat="1" applyFont="1" applyFill="1" applyBorder="1" applyAlignment="1">
      <alignment horizontal="left" vertical="center" wrapText="1" indent="1"/>
    </xf>
    <xf numFmtId="4" fontId="109" fillId="68" borderId="31" xfId="8" applyNumberFormat="1" applyFont="1" applyFill="1" applyBorder="1" applyAlignment="1">
      <alignment horizontal="justify" vertical="top" wrapText="1"/>
    </xf>
    <xf numFmtId="0" fontId="140" fillId="0" borderId="31" xfId="0" applyFont="1" applyBorder="1" applyAlignment="1">
      <alignment horizontal="center" vertical="center" wrapText="1"/>
    </xf>
    <xf numFmtId="0" fontId="112" fillId="0" borderId="31" xfId="0" applyFont="1" applyBorder="1" applyAlignment="1">
      <alignment horizontal="left" vertical="top" wrapText="1"/>
    </xf>
    <xf numFmtId="4" fontId="123" fillId="0" borderId="31" xfId="3226" applyNumberFormat="1" applyFont="1" applyFill="1" applyBorder="1" applyAlignment="1" applyProtection="1">
      <alignment horizontal="right" vertical="center" indent="1"/>
    </xf>
    <xf numFmtId="4" fontId="143" fillId="0" borderId="31" xfId="3226" applyNumberFormat="1" applyFont="1" applyFill="1" applyBorder="1" applyAlignment="1" applyProtection="1">
      <alignment horizontal="right" vertical="center" indent="1"/>
    </xf>
    <xf numFmtId="4" fontId="141" fillId="0" borderId="31" xfId="0" applyNumberFormat="1" applyFont="1" applyFill="1" applyBorder="1" applyAlignment="1" applyProtection="1">
      <alignment horizontal="right" vertical="center" wrapText="1" indent="1"/>
    </xf>
    <xf numFmtId="4" fontId="141" fillId="0" borderId="31" xfId="3226" applyNumberFormat="1" applyFont="1" applyFill="1" applyBorder="1" applyAlignment="1" applyProtection="1">
      <alignment horizontal="right" vertical="center" indent="1"/>
    </xf>
    <xf numFmtId="4" fontId="123" fillId="0" borderId="31" xfId="0" applyNumberFormat="1" applyFont="1" applyFill="1" applyBorder="1" applyAlignment="1" applyProtection="1">
      <alignment horizontal="right" vertical="center" wrapText="1" indent="1"/>
    </xf>
    <xf numFmtId="49" fontId="145" fillId="72" borderId="0" xfId="0" applyNumberFormat="1" applyFont="1" applyFill="1" applyBorder="1" applyAlignment="1">
      <alignment horizontal="center" vertical="center"/>
    </xf>
    <xf numFmtId="0" fontId="147" fillId="72" borderId="0" xfId="3231" applyFont="1" applyFill="1" applyBorder="1" applyAlignment="1" applyProtection="1">
      <alignment horizontal="left" vertical="center"/>
      <protection locked="0"/>
    </xf>
    <xf numFmtId="200" fontId="97" fillId="69" borderId="30" xfId="0" applyNumberFormat="1" applyFont="1" applyFill="1" applyBorder="1" applyAlignment="1" applyProtection="1">
      <alignment horizontal="center" vertical="center"/>
      <protection locked="0"/>
    </xf>
    <xf numFmtId="0" fontId="99" fillId="0" borderId="31" xfId="9" applyFont="1" applyFill="1" applyBorder="1" applyAlignment="1">
      <alignment horizontal="left" vertical="center" wrapText="1" indent="1"/>
    </xf>
    <xf numFmtId="0" fontId="144" fillId="71" borderId="0" xfId="0" applyFont="1" applyFill="1" applyBorder="1" applyAlignment="1">
      <alignment horizontal="center" vertical="center" wrapText="1"/>
    </xf>
    <xf numFmtId="0" fontId="144" fillId="71" borderId="0" xfId="0" applyFont="1" applyFill="1" applyBorder="1" applyAlignment="1">
      <alignment horizontal="center" vertical="center"/>
    </xf>
    <xf numFmtId="0" fontId="144" fillId="71" borderId="28" xfId="0" applyFont="1" applyFill="1" applyBorder="1" applyAlignment="1">
      <alignment horizontal="center" vertical="center"/>
    </xf>
    <xf numFmtId="0" fontId="144" fillId="71" borderId="29" xfId="0" applyFont="1" applyFill="1" applyBorder="1" applyAlignment="1">
      <alignment horizontal="center" vertical="center"/>
    </xf>
    <xf numFmtId="0" fontId="144" fillId="71" borderId="27" xfId="0" applyFont="1" applyFill="1" applyBorder="1" applyAlignment="1">
      <alignment horizontal="center" vertical="center"/>
    </xf>
    <xf numFmtId="0" fontId="100" fillId="66" borderId="31" xfId="0" applyFont="1" applyFill="1" applyBorder="1" applyAlignment="1">
      <alignment horizontal="left" vertical="center" wrapText="1" indent="1"/>
    </xf>
    <xf numFmtId="0" fontId="92" fillId="66" borderId="31" xfId="0" applyFont="1" applyFill="1" applyBorder="1" applyAlignment="1">
      <alignment horizontal="right" vertical="top" wrapText="1"/>
    </xf>
    <xf numFmtId="0" fontId="112" fillId="0" borderId="31" xfId="0" applyFont="1" applyFill="1" applyBorder="1" applyAlignment="1">
      <alignment horizontal="justify" vertical="center" wrapText="1"/>
    </xf>
    <xf numFmtId="0" fontId="92" fillId="66" borderId="31" xfId="0" applyFont="1" applyFill="1" applyBorder="1" applyAlignment="1">
      <alignment horizontal="right" vertical="center" wrapText="1"/>
    </xf>
    <xf numFmtId="49" fontId="112" fillId="73" borderId="31" xfId="0" applyNumberFormat="1" applyFont="1" applyFill="1" applyBorder="1" applyAlignment="1">
      <alignment horizontal="justify" vertical="center" wrapText="1"/>
    </xf>
    <xf numFmtId="0" fontId="93" fillId="66" borderId="31" xfId="0" applyFont="1" applyFill="1" applyBorder="1" applyAlignment="1">
      <alignment horizontal="right" vertical="center" wrapText="1"/>
    </xf>
    <xf numFmtId="49" fontId="101" fillId="0" borderId="31" xfId="0" applyNumberFormat="1" applyFont="1" applyBorder="1" applyAlignment="1">
      <alignment horizontal="left" vertical="top" wrapText="1"/>
    </xf>
    <xf numFmtId="0" fontId="100" fillId="66" borderId="31" xfId="0" applyFont="1" applyFill="1" applyBorder="1" applyAlignment="1">
      <alignment horizontal="left" vertical="center" wrapText="1"/>
    </xf>
    <xf numFmtId="49" fontId="103" fillId="0" borderId="31" xfId="9" applyNumberFormat="1" applyFont="1" applyFill="1" applyBorder="1" applyAlignment="1">
      <alignment horizontal="justify" vertical="top" wrapText="1"/>
    </xf>
    <xf numFmtId="49" fontId="104" fillId="0" borderId="31" xfId="9" applyNumberFormat="1" applyFont="1" applyFill="1" applyBorder="1" applyAlignment="1">
      <alignment horizontal="justify" vertical="top" wrapText="1"/>
    </xf>
    <xf numFmtId="0" fontId="102" fillId="66" borderId="31" xfId="0" applyFont="1" applyFill="1" applyBorder="1" applyAlignment="1">
      <alignment horizontal="left" vertical="center" wrapText="1" indent="1"/>
    </xf>
    <xf numFmtId="49" fontId="103" fillId="69" borderId="31" xfId="0" applyNumberFormat="1" applyFont="1" applyFill="1" applyBorder="1" applyAlignment="1">
      <alignment horizontal="justify" vertical="top" wrapText="1"/>
    </xf>
    <xf numFmtId="49" fontId="98" fillId="69" borderId="31" xfId="0" applyNumberFormat="1" applyFont="1" applyFill="1" applyBorder="1" applyAlignment="1">
      <alignment horizontal="justify" vertical="top"/>
    </xf>
    <xf numFmtId="0" fontId="80" fillId="0" borderId="0" xfId="0" applyFont="1" applyBorder="1" applyAlignment="1">
      <alignment horizontal="center" vertical="center" wrapText="1"/>
    </xf>
    <xf numFmtId="49" fontId="105" fillId="0" borderId="31" xfId="0" applyNumberFormat="1" applyFont="1" applyBorder="1" applyAlignment="1" applyProtection="1">
      <alignment horizontal="left" vertical="top" wrapText="1"/>
      <protection locked="0"/>
    </xf>
    <xf numFmtId="49" fontId="96" fillId="0" borderId="31" xfId="0" applyNumberFormat="1" applyFont="1" applyBorder="1" applyAlignment="1" applyProtection="1">
      <alignment horizontal="left" vertical="top"/>
      <protection locked="0"/>
    </xf>
    <xf numFmtId="0" fontId="99" fillId="65" borderId="31" xfId="9" applyFont="1" applyFill="1" applyBorder="1" applyAlignment="1">
      <alignment horizontal="left" vertical="center" wrapText="1" indent="1"/>
    </xf>
    <xf numFmtId="49" fontId="98" fillId="0" borderId="31" xfId="0" applyNumberFormat="1" applyFont="1" applyFill="1" applyBorder="1" applyAlignment="1" applyProtection="1">
      <alignment horizontal="left" vertical="top" wrapText="1"/>
      <protection locked="0"/>
    </xf>
    <xf numFmtId="49" fontId="98" fillId="0" borderId="31" xfId="0" applyNumberFormat="1" applyFont="1" applyFill="1" applyBorder="1" applyAlignment="1" applyProtection="1">
      <alignment horizontal="left" vertical="top"/>
      <protection locked="0"/>
    </xf>
    <xf numFmtId="0" fontId="99" fillId="68" borderId="31" xfId="9" applyFont="1" applyFill="1" applyBorder="1" applyAlignment="1">
      <alignment horizontal="left" vertical="center" wrapText="1" indent="1"/>
    </xf>
    <xf numFmtId="0" fontId="107" fillId="68" borderId="31" xfId="9" applyFont="1" applyFill="1" applyBorder="1" applyAlignment="1">
      <alignment horizontal="left" vertical="center" wrapText="1" indent="1"/>
    </xf>
    <xf numFmtId="0" fontId="80" fillId="0" borderId="0" xfId="0" applyFont="1" applyFill="1" applyBorder="1" applyAlignment="1">
      <alignment horizontal="center"/>
    </xf>
    <xf numFmtId="0" fontId="99" fillId="65" borderId="31" xfId="9" applyFont="1" applyFill="1" applyBorder="1" applyAlignment="1">
      <alignment horizontal="justify" vertical="center" wrapText="1"/>
    </xf>
    <xf numFmtId="0" fontId="107" fillId="65" borderId="31" xfId="9" applyFont="1" applyFill="1" applyBorder="1" applyAlignment="1">
      <alignment horizontal="left" vertical="center" wrapText="1" indent="1"/>
    </xf>
    <xf numFmtId="49" fontId="104" fillId="0" borderId="31" xfId="0" applyNumberFormat="1" applyFont="1" applyFill="1" applyBorder="1" applyAlignment="1">
      <alignment horizontal="center" vertical="center" wrapText="1"/>
    </xf>
    <xf numFmtId="0" fontId="98" fillId="0" borderId="31" xfId="0" applyFont="1" applyBorder="1" applyAlignment="1">
      <alignment horizontal="justify" vertical="center" wrapText="1"/>
    </xf>
    <xf numFmtId="0" fontId="98" fillId="70" borderId="31" xfId="0" applyFont="1" applyFill="1" applyBorder="1" applyAlignment="1">
      <alignment horizontal="left" vertical="center"/>
    </xf>
    <xf numFmtId="0" fontId="98" fillId="0" borderId="31" xfId="0" applyFont="1" applyBorder="1" applyAlignment="1">
      <alignment horizontal="left" vertical="center"/>
    </xf>
    <xf numFmtId="0" fontId="98" fillId="70" borderId="31" xfId="0" applyFont="1" applyFill="1" applyBorder="1" applyAlignment="1">
      <alignment horizontal="left" vertical="center" wrapText="1"/>
    </xf>
    <xf numFmtId="0" fontId="98" fillId="74" borderId="31" xfId="0" applyFont="1" applyFill="1" applyBorder="1" applyAlignment="1">
      <alignment horizontal="justify" vertical="center" wrapText="1"/>
    </xf>
    <xf numFmtId="4" fontId="121" fillId="75" borderId="31" xfId="8" applyNumberFormat="1" applyFont="1" applyFill="1" applyBorder="1" applyAlignment="1">
      <alignment horizontal="left" vertical="top" wrapText="1"/>
    </xf>
    <xf numFmtId="4" fontId="109" fillId="0" borderId="31" xfId="8" applyNumberFormat="1" applyFont="1" applyFill="1" applyBorder="1" applyAlignment="1">
      <alignment horizontal="justify" vertical="top" wrapText="1"/>
    </xf>
    <xf numFmtId="4" fontId="109" fillId="75" borderId="31" xfId="8" applyNumberFormat="1" applyFont="1" applyFill="1" applyBorder="1" applyAlignment="1">
      <alignment horizontal="left" vertical="top" wrapText="1"/>
    </xf>
    <xf numFmtId="4" fontId="109" fillId="75" borderId="31" xfId="0" applyNumberFormat="1" applyFont="1" applyFill="1" applyBorder="1" applyAlignment="1">
      <alignment horizontal="justify" vertical="top" wrapText="1"/>
    </xf>
    <xf numFmtId="4" fontId="109" fillId="75" borderId="31" xfId="0" applyNumberFormat="1" applyFont="1" applyFill="1" applyBorder="1" applyAlignment="1">
      <alignment horizontal="justify" vertical="top"/>
    </xf>
    <xf numFmtId="0" fontId="134" fillId="72" borderId="0" xfId="0" applyFont="1" applyFill="1" applyBorder="1" applyAlignment="1">
      <alignment horizontal="center" vertical="center" wrapText="1"/>
    </xf>
    <xf numFmtId="0" fontId="134" fillId="72" borderId="0" xfId="0" applyFont="1" applyFill="1" applyBorder="1" applyAlignment="1">
      <alignment horizontal="center" vertical="center"/>
    </xf>
    <xf numFmtId="4" fontId="109" fillId="75" borderId="31" xfId="762" applyNumberFormat="1" applyFont="1" applyFill="1" applyBorder="1" applyAlignment="1">
      <alignment horizontal="justify" vertical="top" wrapText="1"/>
    </xf>
    <xf numFmtId="49" fontId="112" fillId="0" borderId="31" xfId="0" applyNumberFormat="1" applyFont="1" applyFill="1" applyBorder="1" applyAlignment="1">
      <alignment horizontal="justify" vertical="center" wrapText="1"/>
    </xf>
    <xf numFmtId="4" fontId="109" fillId="75" borderId="31" xfId="8" applyNumberFormat="1" applyFont="1" applyFill="1" applyBorder="1" applyAlignment="1">
      <alignment horizontal="justify" vertical="top" wrapText="1"/>
    </xf>
    <xf numFmtId="0" fontId="110" fillId="75" borderId="31" xfId="0" applyFont="1" applyFill="1" applyBorder="1" applyAlignment="1">
      <alignment horizontal="justify" vertical="top" wrapText="1"/>
    </xf>
    <xf numFmtId="4" fontId="121" fillId="75" borderId="31" xfId="0" applyNumberFormat="1" applyFont="1" applyFill="1" applyBorder="1" applyAlignment="1">
      <alignment horizontal="justify" vertical="top" wrapText="1"/>
    </xf>
    <xf numFmtId="0" fontId="109" fillId="75" borderId="31" xfId="762" applyFont="1" applyFill="1" applyBorder="1" applyAlignment="1">
      <alignment horizontal="justify" vertical="top" wrapText="1"/>
    </xf>
    <xf numFmtId="4" fontId="121" fillId="75" borderId="31" xfId="3226" applyNumberFormat="1" applyFont="1" applyFill="1" applyBorder="1" applyAlignment="1" applyProtection="1">
      <alignment horizontal="left" vertical="top" wrapText="1"/>
      <protection locked="0"/>
    </xf>
    <xf numFmtId="4" fontId="121" fillId="75" borderId="31" xfId="3226" applyNumberFormat="1" applyFont="1" applyFill="1" applyBorder="1" applyAlignment="1" applyProtection="1">
      <alignment horizontal="left" vertical="top"/>
      <protection locked="0"/>
    </xf>
    <xf numFmtId="4" fontId="121" fillId="75" borderId="31" xfId="3226" applyNumberFormat="1" applyFont="1" applyFill="1" applyBorder="1" applyAlignment="1" applyProtection="1">
      <alignment horizontal="justify" vertical="top" wrapText="1"/>
      <protection locked="0"/>
    </xf>
    <xf numFmtId="4" fontId="121" fillId="75" borderId="31" xfId="3226" applyNumberFormat="1" applyFont="1" applyFill="1" applyBorder="1" applyAlignment="1" applyProtection="1">
      <alignment horizontal="justify" vertical="top"/>
      <protection locked="0"/>
    </xf>
    <xf numFmtId="4" fontId="120" fillId="75" borderId="31" xfId="0" applyNumberFormat="1" applyFont="1" applyFill="1" applyBorder="1" applyAlignment="1">
      <alignment horizontal="justify" vertical="top" wrapText="1"/>
    </xf>
    <xf numFmtId="2" fontId="121" fillId="75" borderId="31" xfId="0" applyNumberFormat="1" applyFont="1" applyFill="1" applyBorder="1" applyAlignment="1">
      <alignment horizontal="left" vertical="top" wrapText="1"/>
    </xf>
    <xf numFmtId="2" fontId="121" fillId="75" borderId="31" xfId="0" applyNumberFormat="1" applyFont="1" applyFill="1" applyBorder="1" applyAlignment="1">
      <alignment horizontal="left" vertical="top"/>
    </xf>
    <xf numFmtId="0" fontId="109" fillId="75" borderId="31" xfId="8" applyFont="1" applyFill="1" applyBorder="1" applyAlignment="1">
      <alignment horizontal="left" vertical="top" wrapText="1"/>
    </xf>
    <xf numFmtId="0" fontId="109" fillId="75" borderId="31" xfId="0" applyFont="1" applyFill="1" applyBorder="1" applyAlignment="1">
      <alignment horizontal="justify" vertical="top" wrapText="1"/>
    </xf>
    <xf numFmtId="49" fontId="109" fillId="75" borderId="31" xfId="3225" applyNumberFormat="1" applyFont="1" applyFill="1" applyBorder="1" applyAlignment="1">
      <alignment horizontal="justify" vertical="top" wrapText="1"/>
    </xf>
  </cellXfs>
  <cellStyles count="3232">
    <cellStyle name="'" xfId="11" xr:uid="{00000000-0005-0000-0000-000000000000}"/>
    <cellStyle name="%" xfId="12" xr:uid="{00000000-0005-0000-0000-000001000000}"/>
    <cellStyle name="% 2" xfId="13" xr:uid="{00000000-0005-0000-0000-000002000000}"/>
    <cellStyle name="% 3" xfId="14" xr:uid="{00000000-0005-0000-0000-000003000000}"/>
    <cellStyle name="% 4" xfId="3221" xr:uid="{00000000-0005-0000-0000-000004000000}"/>
    <cellStyle name="%_2_инсталляция 4кв " xfId="15" xr:uid="{00000000-0005-0000-0000-000005000000}"/>
    <cellStyle name="%_База" xfId="16" xr:uid="{00000000-0005-0000-0000-000006000000}"/>
    <cellStyle name="%_База_1" xfId="17" xr:uid="{00000000-0005-0000-0000-000007000000}"/>
    <cellStyle name="%_База_1_Свод" xfId="18" xr:uid="{00000000-0005-0000-0000-000008000000}"/>
    <cellStyle name="%_База_2" xfId="19" xr:uid="{00000000-0005-0000-0000-000009000000}"/>
    <cellStyle name="%_База_База" xfId="20" xr:uid="{00000000-0005-0000-0000-00000A000000}"/>
    <cellStyle name="__ДДС_П2 СЗТ08" xfId="21" xr:uid="{00000000-0005-0000-0000-00000B000000}"/>
    <cellStyle name="__ДДС_П4 СЗТ09" xfId="22" xr:uid="{00000000-0005-0000-0000-00000C000000}"/>
    <cellStyle name="__ОборотКЗП2 для БО" xfId="23" xr:uid="{00000000-0005-0000-0000-00000D000000}"/>
    <cellStyle name="_01" xfId="24" xr:uid="{00000000-0005-0000-0000-00000E000000}"/>
    <cellStyle name="_05_База_за_3 квартал" xfId="25" xr:uid="{00000000-0005-0000-0000-00000F000000}"/>
    <cellStyle name="_05_База_за_декабрь уточн" xfId="26" xr:uid="{00000000-0005-0000-0000-000010000000}"/>
    <cellStyle name="_07" xfId="27" xr:uid="{00000000-0005-0000-0000-000011000000}"/>
    <cellStyle name="_2_инсталляция 4кв " xfId="28" xr:uid="{00000000-0005-0000-0000-000012000000}"/>
    <cellStyle name="_2010_II_F0145" xfId="29" xr:uid="{00000000-0005-0000-0000-000013000000}"/>
    <cellStyle name="_333" xfId="30" xr:uid="{00000000-0005-0000-0000-000014000000}"/>
    <cellStyle name="_50-Инвестиц_05_август" xfId="31" xr:uid="{00000000-0005-0000-0000-000015000000}"/>
    <cellStyle name="_Cost" xfId="32" xr:uid="{00000000-0005-0000-0000-000016000000}"/>
    <cellStyle name="_header_grey" xfId="33" xr:uid="{00000000-0005-0000-0000-000017000000}"/>
    <cellStyle name="_header_italic" xfId="34" xr:uid="{00000000-0005-0000-0000-000018000000}"/>
    <cellStyle name="_header_vertical" xfId="35" xr:uid="{00000000-0005-0000-0000-000019000000}"/>
    <cellStyle name="_Inv" xfId="36" xr:uid="{00000000-0005-0000-0000-00001A000000}"/>
    <cellStyle name="_Invest _052" xfId="37" xr:uid="{00000000-0005-0000-0000-00001B000000}"/>
    <cellStyle name="_Invest_04_факт_декабрь_проверка_КЗ" xfId="38" xr:uid="{00000000-0005-0000-0000-00001C000000}"/>
    <cellStyle name="_Invest_05_факт_июнь" xfId="39" xr:uid="{00000000-0005-0000-0000-00001D000000}"/>
    <cellStyle name="_Invest_06_v11" xfId="40" xr:uid="{00000000-0005-0000-0000-00001E000000}"/>
    <cellStyle name="_PL_СЗТ_2007_08.11.06" xfId="41" xr:uid="{00000000-0005-0000-0000-00001F000000}"/>
    <cellStyle name="_PL_СЗТ_4 кв 2006" xfId="42" xr:uid="{00000000-0005-0000-0000-000020000000}"/>
    <cellStyle name="_PL_СЗТ_4 кв 2007-ПланIV" xfId="43" xr:uid="{00000000-0005-0000-0000-000021000000}"/>
    <cellStyle name="_PL2008свод" xfId="44" xr:uid="{00000000-0005-0000-0000-000022000000}"/>
    <cellStyle name="_PON_модель_150709_на основе 060709_упущенная выгода отдельно" xfId="45" xr:uid="{00000000-0005-0000-0000-000023000000}"/>
    <cellStyle name="_Rate_account_v2_1_st_stage (4)" xfId="46" xr:uid="{00000000-0005-0000-0000-000024000000}"/>
    <cellStyle name="_Zayavka.xls Диагр. 100" xfId="47" xr:uid="{00000000-0005-0000-0000-000025000000}"/>
    <cellStyle name="_Zayavka.xls Диагр. 101" xfId="48" xr:uid="{00000000-0005-0000-0000-000026000000}"/>
    <cellStyle name="_Zayavka.xls Диагр. 102" xfId="49" xr:uid="{00000000-0005-0000-0000-000027000000}"/>
    <cellStyle name="_Zayavka.xls Диагр. 103" xfId="50" xr:uid="{00000000-0005-0000-0000-000028000000}"/>
    <cellStyle name="_Zayavka.xls Диагр. 104" xfId="51" xr:uid="{00000000-0005-0000-0000-000029000000}"/>
    <cellStyle name="_Zayavka.xls Диагр. 105" xfId="52" xr:uid="{00000000-0005-0000-0000-00002A000000}"/>
    <cellStyle name="_Zayavka.xls Диагр. 106" xfId="53" xr:uid="{00000000-0005-0000-0000-00002B000000}"/>
    <cellStyle name="_Zayavka.xls Диагр. 107" xfId="54" xr:uid="{00000000-0005-0000-0000-00002C000000}"/>
    <cellStyle name="_Zayavka.xls Диагр. 108" xfId="55" xr:uid="{00000000-0005-0000-0000-00002D000000}"/>
    <cellStyle name="_Zayavka.xls Диагр. 109" xfId="56" xr:uid="{00000000-0005-0000-0000-00002E000000}"/>
    <cellStyle name="_Zayavka.xls Диагр. 110" xfId="57" xr:uid="{00000000-0005-0000-0000-00002F000000}"/>
    <cellStyle name="_Zayavka.xls Диагр. 111" xfId="58" xr:uid="{00000000-0005-0000-0000-000030000000}"/>
    <cellStyle name="_Zayavka.xls Диагр. 112" xfId="59" xr:uid="{00000000-0005-0000-0000-000031000000}"/>
    <cellStyle name="_Zayavka.xls Диагр. 113" xfId="60" xr:uid="{00000000-0005-0000-0000-000032000000}"/>
    <cellStyle name="_Zayavka.xls Диагр. 114" xfId="61" xr:uid="{00000000-0005-0000-0000-000033000000}"/>
    <cellStyle name="_Zayavka.xls Диагр. 115" xfId="62" xr:uid="{00000000-0005-0000-0000-000034000000}"/>
    <cellStyle name="_Zayavka.xls Диагр. 116" xfId="63" xr:uid="{00000000-0005-0000-0000-000035000000}"/>
    <cellStyle name="_Zayavka.xls Диагр. 117" xfId="64" xr:uid="{00000000-0005-0000-0000-000036000000}"/>
    <cellStyle name="_Zayavka.xls Диагр. 118" xfId="65" xr:uid="{00000000-0005-0000-0000-000037000000}"/>
    <cellStyle name="_Zayavka.xls Диагр. 119" xfId="66" xr:uid="{00000000-0005-0000-0000-000038000000}"/>
    <cellStyle name="_Zayavka.xls Диагр. 120" xfId="67" xr:uid="{00000000-0005-0000-0000-000039000000}"/>
    <cellStyle name="_Zayavka.xls Диагр. 121" xfId="68" xr:uid="{00000000-0005-0000-0000-00003A000000}"/>
    <cellStyle name="_Zayavka.xls Диагр. 122" xfId="69" xr:uid="{00000000-0005-0000-0000-00003B000000}"/>
    <cellStyle name="_Zayavka.xls Диагр. 123" xfId="70" xr:uid="{00000000-0005-0000-0000-00003C000000}"/>
    <cellStyle name="_Zayavka.xls Диагр. 124" xfId="71" xr:uid="{00000000-0005-0000-0000-00003D000000}"/>
    <cellStyle name="_Zayavka.xls Диагр. 125" xfId="72" xr:uid="{00000000-0005-0000-0000-00003E000000}"/>
    <cellStyle name="_Zayavka.xls Диагр. 126" xfId="73" xr:uid="{00000000-0005-0000-0000-00003F000000}"/>
    <cellStyle name="_Zayavka.xls Диагр. 127" xfId="74" xr:uid="{00000000-0005-0000-0000-000040000000}"/>
    <cellStyle name="_Zayavka.xls Диагр. 128" xfId="75" xr:uid="{00000000-0005-0000-0000-000041000000}"/>
    <cellStyle name="_Zayavka.xls Диагр. 129" xfId="76" xr:uid="{00000000-0005-0000-0000-000042000000}"/>
    <cellStyle name="_Zayavka.xls Диагр. 130" xfId="77" xr:uid="{00000000-0005-0000-0000-000043000000}"/>
    <cellStyle name="_Zayavka.xls Диагр. 131" xfId="78" xr:uid="{00000000-0005-0000-0000-000044000000}"/>
    <cellStyle name="_Zayavka.xls Диагр. 132" xfId="79" xr:uid="{00000000-0005-0000-0000-000045000000}"/>
    <cellStyle name="_Zayavka.xls Диагр. 133" xfId="80" xr:uid="{00000000-0005-0000-0000-000046000000}"/>
    <cellStyle name="_Zayavka.xls Диагр. 134" xfId="81" xr:uid="{00000000-0005-0000-0000-000047000000}"/>
    <cellStyle name="_Zayavka.xls Диагр. 135" xfId="82" xr:uid="{00000000-0005-0000-0000-000048000000}"/>
    <cellStyle name="_Zayavka.xls Диагр. 136" xfId="83" xr:uid="{00000000-0005-0000-0000-000049000000}"/>
    <cellStyle name="_Zayavka.xls Диагр. 137" xfId="84" xr:uid="{00000000-0005-0000-0000-00004A000000}"/>
    <cellStyle name="_Zayavka.xls Диагр. 138" xfId="85" xr:uid="{00000000-0005-0000-0000-00004B000000}"/>
    <cellStyle name="_Zayavka.xls Диагр. 139" xfId="86" xr:uid="{00000000-0005-0000-0000-00004C000000}"/>
    <cellStyle name="_Zayavka.xls Диагр. 140" xfId="87" xr:uid="{00000000-0005-0000-0000-00004D000000}"/>
    <cellStyle name="_Zayavka.xls Диагр. 141" xfId="88" xr:uid="{00000000-0005-0000-0000-00004E000000}"/>
    <cellStyle name="_Zayavka.xls Диагр. 142" xfId="89" xr:uid="{00000000-0005-0000-0000-00004F000000}"/>
    <cellStyle name="_Zayavka.xls Диагр. 144" xfId="90" xr:uid="{00000000-0005-0000-0000-000050000000}"/>
    <cellStyle name="_Zayavka.xls Диагр. 145" xfId="91" xr:uid="{00000000-0005-0000-0000-000051000000}"/>
    <cellStyle name="_Zayavka.xls Диагр. 146" xfId="92" xr:uid="{00000000-0005-0000-0000-000052000000}"/>
    <cellStyle name="_Zayavka.xls Диагр. 147" xfId="93" xr:uid="{00000000-0005-0000-0000-000053000000}"/>
    <cellStyle name="_Zayavka.xls Диагр. 89" xfId="94" xr:uid="{00000000-0005-0000-0000-000054000000}"/>
    <cellStyle name="_Zayavka.xls Диагр. 90" xfId="95" xr:uid="{00000000-0005-0000-0000-000055000000}"/>
    <cellStyle name="_Zayavka.xls Диагр. 91" xfId="96" xr:uid="{00000000-0005-0000-0000-000056000000}"/>
    <cellStyle name="_Zayavka.xls Диагр. 92" xfId="97" xr:uid="{00000000-0005-0000-0000-000057000000}"/>
    <cellStyle name="_Zayavka.xls Диагр. 93" xfId="98" xr:uid="{00000000-0005-0000-0000-000058000000}"/>
    <cellStyle name="_Zayavka.xls Диагр. 94" xfId="99" xr:uid="{00000000-0005-0000-0000-000059000000}"/>
    <cellStyle name="_Zayavka.xls Диагр. 95" xfId="100" xr:uid="{00000000-0005-0000-0000-00005A000000}"/>
    <cellStyle name="_Zayavka.xls Диагр. 96" xfId="101" xr:uid="{00000000-0005-0000-0000-00005B000000}"/>
    <cellStyle name="_Zayavka.xls Диагр. 97" xfId="102" xr:uid="{00000000-0005-0000-0000-00005C000000}"/>
    <cellStyle name="_Zayavka.xls Диагр. 98" xfId="103" xr:uid="{00000000-0005-0000-0000-00005D000000}"/>
    <cellStyle name="_Zayavka.xls Диагр. 99" xfId="104" xr:uid="{00000000-0005-0000-0000-00005E000000}"/>
    <cellStyle name="_Анализ" xfId="105" xr:uid="{00000000-0005-0000-0000-00005F000000}"/>
    <cellStyle name="_Анализ_апрель" xfId="106" xr:uid="{00000000-0005-0000-0000-000060000000}"/>
    <cellStyle name="_Анализ_май" xfId="107" xr:uid="{00000000-0005-0000-0000-000061000000}"/>
    <cellStyle name="_Бюджет_2007" xfId="108" xr:uid="{00000000-0005-0000-0000-000062000000}"/>
    <cellStyle name="_БюджетPLДДС2009_V94форма" xfId="109" xr:uid="{00000000-0005-0000-0000-000063000000}"/>
    <cellStyle name="_ГД" xfId="110" xr:uid="{00000000-0005-0000-0000-000064000000}"/>
    <cellStyle name="_Данные о состоянии дебиторской задолженности_СЗТ 2007.03" xfId="111" xr:uid="{00000000-0005-0000-0000-000065000000}"/>
    <cellStyle name="_Данные о состоянии дебиторской задолженности_СЗТ 2007.03 (вар 2)" xfId="112" xr:uid="{00000000-0005-0000-0000-000066000000}"/>
    <cellStyle name="_ДДС" xfId="113" xr:uid="{00000000-0005-0000-0000-000067000000}"/>
    <cellStyle name="_Для Опер  отчет_СЗТ 2007 01-03(ДДС)" xfId="114" xr:uid="{00000000-0005-0000-0000-000068000000}"/>
    <cellStyle name="_для принципов 2008 к БИК 96 140807" xfId="115" xr:uid="{00000000-0005-0000-0000-000069000000}"/>
    <cellStyle name="_Июль-сент_ОИ" xfId="116" xr:uid="{00000000-0005-0000-0000-00006A000000}"/>
    <cellStyle name="_ИюньОИ" xfId="117" xr:uid="{00000000-0005-0000-0000-00006B000000}"/>
    <cellStyle name="_Книга1" xfId="118" xr:uid="{00000000-0005-0000-0000-00006C000000}"/>
    <cellStyle name="_Книга2" xfId="119" xr:uid="{00000000-0005-0000-0000-00006D000000}"/>
    <cellStyle name="_Кор-ки" xfId="120" xr:uid="{00000000-0005-0000-0000-00006E000000}"/>
    <cellStyle name="_Кор-ки инв" xfId="121" xr:uid="{00000000-0005-0000-0000-00006F000000}"/>
    <cellStyle name="_Кредиты 2006" xfId="122" xr:uid="{00000000-0005-0000-0000-000070000000}"/>
    <cellStyle name="_КС_ЮЛ_3 кв._09_КК" xfId="123" xr:uid="{00000000-0005-0000-0000-000071000000}"/>
    <cellStyle name="_Лист в C: Documents and Settings SmorchkovMN Local Settings Temporary Internet Files OLK10 Итоги выполнения показателей бюджета на 10.06" xfId="124" xr:uid="{00000000-0005-0000-0000-000072000000}"/>
    <cellStyle name="_Лист1" xfId="125" xr:uid="{00000000-0005-0000-0000-000073000000}"/>
    <cellStyle name="_Лист1_DDS_Inv_2011" xfId="126" xr:uid="{00000000-0005-0000-0000-000074000000}"/>
    <cellStyle name="_Лист1_ДДС" xfId="127" xr:uid="{00000000-0005-0000-0000-000075000000}"/>
    <cellStyle name="_Лист2" xfId="128" xr:uid="{00000000-0005-0000-0000-000076000000}"/>
    <cellStyle name="_Модель прогноза_Сибирьтелеком" xfId="129" xr:uid="{00000000-0005-0000-0000-000077000000}"/>
    <cellStyle name="_НП_21октября (Карпов)" xfId="130" xr:uid="{00000000-0005-0000-0000-000078000000}"/>
    <cellStyle name="_НП_апрель" xfId="131" xr:uid="{00000000-0005-0000-0000-000079000000}"/>
    <cellStyle name="_НП_апрель1" xfId="132" xr:uid="{00000000-0005-0000-0000-00007A000000}"/>
    <cellStyle name="_Общий_файл_для_отметок" xfId="133" xr:uid="{00000000-0005-0000-0000-00007B000000}"/>
    <cellStyle name="_Опер. отчет_СЗТ 2006.04-06 ч. 2)" xfId="134" xr:uid="{00000000-0005-0000-0000-00007C000000}"/>
    <cellStyle name="_Опер. отчет_СЗТ 2006.10-12(ч.2)" xfId="135" xr:uid="{00000000-0005-0000-0000-00007D000000}"/>
    <cellStyle name="_ОРДЗ" xfId="136" xr:uid="{00000000-0005-0000-0000-00007E000000}"/>
    <cellStyle name="_ОРДЗ на 01.01.07" xfId="137" xr:uid="{00000000-0005-0000-0000-00007F000000}"/>
    <cellStyle name="_ОРДЗ на 01.02.07  Таблицы" xfId="138" xr:uid="{00000000-0005-0000-0000-000080000000}"/>
    <cellStyle name="_ОРДЗ на 01.02.07  Таблицы уточненн вар" xfId="139" xr:uid="{00000000-0005-0000-0000-000081000000}"/>
    <cellStyle name="_ОРДЗ на 01.03.07  Таблицы" xfId="140" xr:uid="{00000000-0005-0000-0000-000082000000}"/>
    <cellStyle name="_ОРДЗ на 01.04.06" xfId="141" xr:uid="{00000000-0005-0000-0000-000083000000}"/>
    <cellStyle name="_ОРДЗ на 01.05.06" xfId="142" xr:uid="{00000000-0005-0000-0000-000084000000}"/>
    <cellStyle name="_ОРДЗ на 01.06.06 для отправки" xfId="143" xr:uid="{00000000-0005-0000-0000-000085000000}"/>
    <cellStyle name="_ОРДЗ на 01.07.06 для отправки" xfId="144" xr:uid="{00000000-0005-0000-0000-000086000000}"/>
    <cellStyle name="_ОРДЗ на 01.07.06 для отправки уточненный" xfId="145" xr:uid="{00000000-0005-0000-0000-000087000000}"/>
    <cellStyle name="_ОРДЗ на 01.08.06 для отправки" xfId="146" xr:uid="{00000000-0005-0000-0000-000088000000}"/>
    <cellStyle name="_ОРДЗ на 01.09.06 для отправки" xfId="147" xr:uid="{00000000-0005-0000-0000-000089000000}"/>
    <cellStyle name="_ОРДЗ на 01.10.06" xfId="148" xr:uid="{00000000-0005-0000-0000-00008A000000}"/>
    <cellStyle name="_ОРДЗ на 01.11.06" xfId="149" xr:uid="{00000000-0005-0000-0000-00008B000000}"/>
    <cellStyle name="_Основные_аппараты_2005" xfId="150" xr:uid="{00000000-0005-0000-0000-00008C000000}"/>
    <cellStyle name="_Отчет за 1 квартал 2004 года" xfId="151" xr:uid="{00000000-0005-0000-0000-00008D000000}"/>
    <cellStyle name="_Отчет из SUN 2007 апрель 1105_вар_2" xfId="152" xr:uid="{00000000-0005-0000-0000-00008E000000}"/>
    <cellStyle name="_Отчет_05_апрель" xfId="153" xr:uid="{00000000-0005-0000-0000-00008F000000}"/>
    <cellStyle name="_Отчет_05_декабрь" xfId="154" xr:uid="{00000000-0005-0000-0000-000090000000}"/>
    <cellStyle name="_Отчет_05_июль" xfId="155" xr:uid="{00000000-0005-0000-0000-000091000000}"/>
    <cellStyle name="_Отчет_05_июнь" xfId="156" xr:uid="{00000000-0005-0000-0000-000092000000}"/>
    <cellStyle name="_Отчет_05_май" xfId="157" xr:uid="{00000000-0005-0000-0000-000093000000}"/>
    <cellStyle name="_Отчет_05_май1" xfId="158" xr:uid="{00000000-0005-0000-0000-000094000000}"/>
    <cellStyle name="_Отчет_05_март1" xfId="159" xr:uid="{00000000-0005-0000-0000-000095000000}"/>
    <cellStyle name="_Отчет_05_ноябрь" xfId="160" xr:uid="{00000000-0005-0000-0000-000096000000}"/>
    <cellStyle name="_Отчет_05_октябрь" xfId="161" xr:uid="{00000000-0005-0000-0000-000097000000}"/>
    <cellStyle name="_Отчет_05_октябрь_1811" xfId="162" xr:uid="{00000000-0005-0000-0000-000098000000}"/>
    <cellStyle name="_Отчет_05_сентябрь_нов" xfId="163" xr:uid="{00000000-0005-0000-0000-000099000000}"/>
    <cellStyle name="_Отчет_05_февраль" xfId="164" xr:uid="{00000000-0005-0000-0000-00009A000000}"/>
    <cellStyle name="_Отчет_05_январь" xfId="165" xr:uid="{00000000-0005-0000-0000-00009B000000}"/>
    <cellStyle name="_Отчет_06_март" xfId="166" xr:uid="{00000000-0005-0000-0000-00009C000000}"/>
    <cellStyle name="_Отчет_06_февраль" xfId="167" xr:uid="{00000000-0005-0000-0000-00009D000000}"/>
    <cellStyle name="_Отчет_06_январь" xfId="168" xr:uid="{00000000-0005-0000-0000-00009E000000}"/>
    <cellStyle name="_Отчет_07_март" xfId="169" xr:uid="{00000000-0005-0000-0000-00009F000000}"/>
    <cellStyle name="_Отчет_07_февраль" xfId="170" xr:uid="{00000000-0005-0000-0000-0000A0000000}"/>
    <cellStyle name="_Отчет_07_январь" xfId="171" xr:uid="{00000000-0005-0000-0000-0000A1000000}"/>
    <cellStyle name="_Отчет_август" xfId="172" xr:uid="{00000000-0005-0000-0000-0000A2000000}"/>
    <cellStyle name="_Отчет_декабрь" xfId="173" xr:uid="{00000000-0005-0000-0000-0000A3000000}"/>
    <cellStyle name="_Отчет_июль" xfId="174" xr:uid="{00000000-0005-0000-0000-0000A4000000}"/>
    <cellStyle name="_Отчет_июнь1" xfId="175" xr:uid="{00000000-0005-0000-0000-0000A5000000}"/>
    <cellStyle name="_Отчет_ноябрь" xfId="176" xr:uid="{00000000-0005-0000-0000-0000A6000000}"/>
    <cellStyle name="_Отчет_октябрь" xfId="177" xr:uid="{00000000-0005-0000-0000-0000A7000000}"/>
    <cellStyle name="_Отчет_сентябрь" xfId="178" xr:uid="{00000000-0005-0000-0000-0000A8000000}"/>
    <cellStyle name="_план" xfId="179" xr:uid="{00000000-0005-0000-0000-0000A9000000}"/>
    <cellStyle name="_План развития ШПД_инфо_08 07 2008_" xfId="180" xr:uid="{00000000-0005-0000-0000-0000AA000000}"/>
    <cellStyle name="_Приложения" xfId="181" xr:uid="{00000000-0005-0000-0000-0000AB000000}"/>
    <cellStyle name="_ПРИОРИТЕТЫ_пофилиально_после_БИК_значения_310306" xfId="182" xr:uid="{00000000-0005-0000-0000-0000AC000000}"/>
    <cellStyle name="_Прогноз_2009-2013" xfId="183" xr:uid="{00000000-0005-0000-0000-0000AD000000}"/>
    <cellStyle name="_Прогноз_5Y_2008-2012-СЗТ" xfId="184" xr:uid="{00000000-0005-0000-0000-0000AE000000}"/>
    <cellStyle name="_Расчет ОКВ_ЮРЛ_1" xfId="185" xr:uid="{00000000-0005-0000-0000-0000AF000000}"/>
    <cellStyle name="_расширение_2007_МСС_СЗТ_таблица-16_08 (new1)" xfId="186" xr:uid="{00000000-0005-0000-0000-0000B0000000}"/>
    <cellStyle name="_Расшифр_01_05" xfId="187" xr:uid="{00000000-0005-0000-0000-0000B1000000}"/>
    <cellStyle name="_СЗТ" xfId="188" xr:uid="{00000000-0005-0000-0000-0000B2000000}"/>
    <cellStyle name="_СЗТ_Прогноз_2007-2011 для Стратегии" xfId="189" xr:uid="{00000000-0005-0000-0000-0000B3000000}"/>
    <cellStyle name="_Спека и Расчет окупаемости_УСИ_Cisco" xfId="190" xr:uid="{00000000-0005-0000-0000-0000B4000000}"/>
    <cellStyle name="_Статус" xfId="191" xr:uid="{00000000-0005-0000-0000-0000B5000000}"/>
    <cellStyle name="_Сценарий АнтиПОН_v1_010210" xfId="192" xr:uid="{00000000-0005-0000-0000-0000B6000000}"/>
    <cellStyle name="_Таблица 1.1 Основные экономические показатели" xfId="193" xr:uid="{00000000-0005-0000-0000-0000B7000000}"/>
    <cellStyle name="_Таблица 1.1. Осн эконом показатели" xfId="194" xr:uid="{00000000-0005-0000-0000-0000B8000000}"/>
    <cellStyle name="_Таблица 1.3 ПиУ" xfId="195" xr:uid="{00000000-0005-0000-0000-0000B9000000}"/>
    <cellStyle name="_Таблица 1.3 ПиУ (с корректировками на 18.10.06)" xfId="196" xr:uid="{00000000-0005-0000-0000-0000BA000000}"/>
    <cellStyle name="_Таблицы для ПЗ селектор за октябрь 06" xfId="197" xr:uid="{00000000-0005-0000-0000-0000BB000000}"/>
    <cellStyle name="_ТЭО проекта 75% PON в СПб_v7_300610_принят за базу (75%)" xfId="198" xr:uid="{00000000-0005-0000-0000-0000BC000000}"/>
    <cellStyle name="_ФИН_ЗАДОЛЖЕННОСТЬ" xfId="199" xr:uid="{00000000-0005-0000-0000-0000BD000000}"/>
    <cellStyle name="_ФИНЗАД_01" xfId="200" xr:uid="{00000000-0005-0000-0000-0000BE000000}"/>
    <cellStyle name="_ФОРМА КД2008" xfId="201" xr:uid="{00000000-0005-0000-0000-0000BF000000}"/>
    <cellStyle name="_Форма_БюджетPLДДС2008" xfId="202" xr:uid="{00000000-0005-0000-0000-0000C0000000}"/>
    <cellStyle name="_Формат отчета PL" xfId="203" xr:uid="{00000000-0005-0000-0000-0000C1000000}"/>
    <cellStyle name="_Формы отчетов для СВОС РФ (2)" xfId="204" xr:uid="{00000000-0005-0000-0000-0000C2000000}"/>
    <cellStyle name="_ЦРФ" xfId="205" xr:uid="{00000000-0005-0000-0000-0000C3000000}"/>
    <cellStyle name="_шаблон ПиУ ДДС ДЗ 2009" xfId="206" xr:uid="{00000000-0005-0000-0000-0000C4000000}"/>
    <cellStyle name="0,0_x000d__x000a_NA_x000d__x000a_" xfId="207" xr:uid="{00000000-0005-0000-0000-0000C5000000}"/>
    <cellStyle name="0,0_x000d__x000a_NA_x000d__x000a_ 2" xfId="208" xr:uid="{00000000-0005-0000-0000-0000C6000000}"/>
    <cellStyle name="0,0_x000d__x000a_NA_x000d__x000a_ 3" xfId="209" xr:uid="{00000000-0005-0000-0000-0000C7000000}"/>
    <cellStyle name="0. Заголовок раздела" xfId="210" xr:uid="{00000000-0005-0000-0000-0000C8000000}"/>
    <cellStyle name="01_Validation" xfId="211" xr:uid="{00000000-0005-0000-0000-0000C9000000}"/>
    <cellStyle name="02_Amount_from_OSV" xfId="212" xr:uid="{00000000-0005-0000-0000-0000CA000000}"/>
    <cellStyle name="1,2. Статья или позиция" xfId="213" xr:uid="{00000000-0005-0000-0000-0000CB000000}"/>
    <cellStyle name="20% - Акцент1 2" xfId="214" xr:uid="{00000000-0005-0000-0000-0000CC000000}"/>
    <cellStyle name="20% - Акцент1 2 2" xfId="215" xr:uid="{00000000-0005-0000-0000-0000CD000000}"/>
    <cellStyle name="20% - Акцент1 2 3" xfId="216" xr:uid="{00000000-0005-0000-0000-0000CE000000}"/>
    <cellStyle name="20% - Акцент1 2 4" xfId="217" xr:uid="{00000000-0005-0000-0000-0000CF000000}"/>
    <cellStyle name="20% - Акцент1 3" xfId="218" xr:uid="{00000000-0005-0000-0000-0000D0000000}"/>
    <cellStyle name="20% - Акцент1 4" xfId="219" xr:uid="{00000000-0005-0000-0000-0000D1000000}"/>
    <cellStyle name="20% - Акцент1 5" xfId="220" xr:uid="{00000000-0005-0000-0000-0000D2000000}"/>
    <cellStyle name="20% - Акцент1 6" xfId="221" xr:uid="{00000000-0005-0000-0000-0000D3000000}"/>
    <cellStyle name="20% - Акцент2 2" xfId="222" xr:uid="{00000000-0005-0000-0000-0000D4000000}"/>
    <cellStyle name="20% - Акцент2 2 2" xfId="223" xr:uid="{00000000-0005-0000-0000-0000D5000000}"/>
    <cellStyle name="20% - Акцент2 2 3" xfId="224" xr:uid="{00000000-0005-0000-0000-0000D6000000}"/>
    <cellStyle name="20% - Акцент2 2 4" xfId="225" xr:uid="{00000000-0005-0000-0000-0000D7000000}"/>
    <cellStyle name="20% - Акцент2 3" xfId="226" xr:uid="{00000000-0005-0000-0000-0000D8000000}"/>
    <cellStyle name="20% - Акцент2 4" xfId="227" xr:uid="{00000000-0005-0000-0000-0000D9000000}"/>
    <cellStyle name="20% - Акцент2 5" xfId="228" xr:uid="{00000000-0005-0000-0000-0000DA000000}"/>
    <cellStyle name="20% - Акцент2 6" xfId="229" xr:uid="{00000000-0005-0000-0000-0000DB000000}"/>
    <cellStyle name="20% - Акцент3 2" xfId="230" xr:uid="{00000000-0005-0000-0000-0000DC000000}"/>
    <cellStyle name="20% - Акцент3 2 2" xfId="231" xr:uid="{00000000-0005-0000-0000-0000DD000000}"/>
    <cellStyle name="20% - Акцент3 2 3" xfId="232" xr:uid="{00000000-0005-0000-0000-0000DE000000}"/>
    <cellStyle name="20% - Акцент3 2 4" xfId="233" xr:uid="{00000000-0005-0000-0000-0000DF000000}"/>
    <cellStyle name="20% - Акцент3 3" xfId="234" xr:uid="{00000000-0005-0000-0000-0000E0000000}"/>
    <cellStyle name="20% - Акцент3 4" xfId="235" xr:uid="{00000000-0005-0000-0000-0000E1000000}"/>
    <cellStyle name="20% - Акцент3 5" xfId="236" xr:uid="{00000000-0005-0000-0000-0000E2000000}"/>
    <cellStyle name="20% - Акцент3 6" xfId="237" xr:uid="{00000000-0005-0000-0000-0000E3000000}"/>
    <cellStyle name="20% - Акцент4 2" xfId="238" xr:uid="{00000000-0005-0000-0000-0000E4000000}"/>
    <cellStyle name="20% - Акцент4 2 2" xfId="239" xr:uid="{00000000-0005-0000-0000-0000E5000000}"/>
    <cellStyle name="20% - Акцент4 2 3" xfId="240" xr:uid="{00000000-0005-0000-0000-0000E6000000}"/>
    <cellStyle name="20% - Акцент4 2 4" xfId="241" xr:uid="{00000000-0005-0000-0000-0000E7000000}"/>
    <cellStyle name="20% - Акцент4 3" xfId="242" xr:uid="{00000000-0005-0000-0000-0000E8000000}"/>
    <cellStyle name="20% - Акцент4 4" xfId="243" xr:uid="{00000000-0005-0000-0000-0000E9000000}"/>
    <cellStyle name="20% - Акцент4 5" xfId="244" xr:uid="{00000000-0005-0000-0000-0000EA000000}"/>
    <cellStyle name="20% - Акцент4 6" xfId="245" xr:uid="{00000000-0005-0000-0000-0000EB000000}"/>
    <cellStyle name="20% - Акцент5 2" xfId="246" xr:uid="{00000000-0005-0000-0000-0000EC000000}"/>
    <cellStyle name="20% - Акцент5 2 2" xfId="247" xr:uid="{00000000-0005-0000-0000-0000ED000000}"/>
    <cellStyle name="20% - Акцент5 2 3" xfId="248" xr:uid="{00000000-0005-0000-0000-0000EE000000}"/>
    <cellStyle name="20% - Акцент5 2 4" xfId="249" xr:uid="{00000000-0005-0000-0000-0000EF000000}"/>
    <cellStyle name="20% - Акцент5 3" xfId="250" xr:uid="{00000000-0005-0000-0000-0000F0000000}"/>
    <cellStyle name="20% - Акцент5 4" xfId="251" xr:uid="{00000000-0005-0000-0000-0000F1000000}"/>
    <cellStyle name="20% - Акцент5 5" xfId="252" xr:uid="{00000000-0005-0000-0000-0000F2000000}"/>
    <cellStyle name="20% - Акцент5 6" xfId="253" xr:uid="{00000000-0005-0000-0000-0000F3000000}"/>
    <cellStyle name="20% - Акцент6 2" xfId="254" xr:uid="{00000000-0005-0000-0000-0000F4000000}"/>
    <cellStyle name="20% - Акцент6 2 2" xfId="255" xr:uid="{00000000-0005-0000-0000-0000F5000000}"/>
    <cellStyle name="20% - Акцент6 2 3" xfId="256" xr:uid="{00000000-0005-0000-0000-0000F6000000}"/>
    <cellStyle name="20% - Акцент6 2 4" xfId="257" xr:uid="{00000000-0005-0000-0000-0000F7000000}"/>
    <cellStyle name="20% - Акцент6 3" xfId="258" xr:uid="{00000000-0005-0000-0000-0000F8000000}"/>
    <cellStyle name="20% - Акцент6 4" xfId="259" xr:uid="{00000000-0005-0000-0000-0000F9000000}"/>
    <cellStyle name="20% - Акцент6 5" xfId="260" xr:uid="{00000000-0005-0000-0000-0000FA000000}"/>
    <cellStyle name="20% - Акцент6 6" xfId="261" xr:uid="{00000000-0005-0000-0000-0000FB000000}"/>
    <cellStyle name="3. Вид услуги" xfId="262" xr:uid="{00000000-0005-0000-0000-0000FC000000}"/>
    <cellStyle name="3. Заголовок подраздела" xfId="263" xr:uid="{00000000-0005-0000-0000-0000FD000000}"/>
    <cellStyle name="4,5,6. Цена" xfId="264" xr:uid="{00000000-0005-0000-0000-0000FE000000}"/>
    <cellStyle name="40% - Акцент1 2" xfId="265" xr:uid="{00000000-0005-0000-0000-0000FF000000}"/>
    <cellStyle name="40% - Акцент1 2 2" xfId="266" xr:uid="{00000000-0005-0000-0000-000000010000}"/>
    <cellStyle name="40% - Акцент1 2 3" xfId="267" xr:uid="{00000000-0005-0000-0000-000001010000}"/>
    <cellStyle name="40% - Акцент1 2 4" xfId="268" xr:uid="{00000000-0005-0000-0000-000002010000}"/>
    <cellStyle name="40% - Акцент1 3" xfId="269" xr:uid="{00000000-0005-0000-0000-000003010000}"/>
    <cellStyle name="40% - Акцент1 4" xfId="270" xr:uid="{00000000-0005-0000-0000-000004010000}"/>
    <cellStyle name="40% - Акцент1 5" xfId="271" xr:uid="{00000000-0005-0000-0000-000005010000}"/>
    <cellStyle name="40% - Акцент1 6" xfId="272" xr:uid="{00000000-0005-0000-0000-000006010000}"/>
    <cellStyle name="40% - Акцент2 2" xfId="273" xr:uid="{00000000-0005-0000-0000-000007010000}"/>
    <cellStyle name="40% - Акцент2 2 2" xfId="274" xr:uid="{00000000-0005-0000-0000-000008010000}"/>
    <cellStyle name="40% - Акцент2 2 3" xfId="275" xr:uid="{00000000-0005-0000-0000-000009010000}"/>
    <cellStyle name="40% - Акцент2 2 4" xfId="276" xr:uid="{00000000-0005-0000-0000-00000A010000}"/>
    <cellStyle name="40% - Акцент2 3" xfId="277" xr:uid="{00000000-0005-0000-0000-00000B010000}"/>
    <cellStyle name="40% - Акцент2 4" xfId="278" xr:uid="{00000000-0005-0000-0000-00000C010000}"/>
    <cellStyle name="40% - Акцент2 5" xfId="279" xr:uid="{00000000-0005-0000-0000-00000D010000}"/>
    <cellStyle name="40% - Акцент2 6" xfId="280" xr:uid="{00000000-0005-0000-0000-00000E010000}"/>
    <cellStyle name="40% - Акцент3 2" xfId="281" xr:uid="{00000000-0005-0000-0000-00000F010000}"/>
    <cellStyle name="40% - Акцент3 2 2" xfId="282" xr:uid="{00000000-0005-0000-0000-000010010000}"/>
    <cellStyle name="40% - Акцент3 2 3" xfId="283" xr:uid="{00000000-0005-0000-0000-000011010000}"/>
    <cellStyle name="40% - Акцент3 2 4" xfId="284" xr:uid="{00000000-0005-0000-0000-000012010000}"/>
    <cellStyle name="40% - Акцент3 3" xfId="285" xr:uid="{00000000-0005-0000-0000-000013010000}"/>
    <cellStyle name="40% - Акцент3 4" xfId="286" xr:uid="{00000000-0005-0000-0000-000014010000}"/>
    <cellStyle name="40% - Акцент3 5" xfId="287" xr:uid="{00000000-0005-0000-0000-000015010000}"/>
    <cellStyle name="40% - Акцент3 6" xfId="288" xr:uid="{00000000-0005-0000-0000-000016010000}"/>
    <cellStyle name="40% - Акцент4 2" xfId="289" xr:uid="{00000000-0005-0000-0000-000017010000}"/>
    <cellStyle name="40% - Акцент4 2 2" xfId="290" xr:uid="{00000000-0005-0000-0000-000018010000}"/>
    <cellStyle name="40% - Акцент4 2 3" xfId="291" xr:uid="{00000000-0005-0000-0000-000019010000}"/>
    <cellStyle name="40% - Акцент4 2 4" xfId="292" xr:uid="{00000000-0005-0000-0000-00001A010000}"/>
    <cellStyle name="40% - Акцент4 3" xfId="293" xr:uid="{00000000-0005-0000-0000-00001B010000}"/>
    <cellStyle name="40% - Акцент4 4" xfId="294" xr:uid="{00000000-0005-0000-0000-00001C010000}"/>
    <cellStyle name="40% - Акцент4 5" xfId="295" xr:uid="{00000000-0005-0000-0000-00001D010000}"/>
    <cellStyle name="40% - Акцент4 6" xfId="296" xr:uid="{00000000-0005-0000-0000-00001E010000}"/>
    <cellStyle name="40% - Акцент5 2" xfId="297" xr:uid="{00000000-0005-0000-0000-00001F010000}"/>
    <cellStyle name="40% - Акцент5 2 2" xfId="298" xr:uid="{00000000-0005-0000-0000-000020010000}"/>
    <cellStyle name="40% - Акцент5 2 3" xfId="299" xr:uid="{00000000-0005-0000-0000-000021010000}"/>
    <cellStyle name="40% - Акцент5 2 4" xfId="300" xr:uid="{00000000-0005-0000-0000-000022010000}"/>
    <cellStyle name="40% - Акцент5 3" xfId="301" xr:uid="{00000000-0005-0000-0000-000023010000}"/>
    <cellStyle name="40% - Акцент5 4" xfId="302" xr:uid="{00000000-0005-0000-0000-000024010000}"/>
    <cellStyle name="40% - Акцент5 5" xfId="303" xr:uid="{00000000-0005-0000-0000-000025010000}"/>
    <cellStyle name="40% - Акцент5 6" xfId="304" xr:uid="{00000000-0005-0000-0000-000026010000}"/>
    <cellStyle name="40% - Акцент6 2" xfId="305" xr:uid="{00000000-0005-0000-0000-000027010000}"/>
    <cellStyle name="40% - Акцент6 2 2" xfId="306" xr:uid="{00000000-0005-0000-0000-000028010000}"/>
    <cellStyle name="40% - Акцент6 2 3" xfId="307" xr:uid="{00000000-0005-0000-0000-000029010000}"/>
    <cellStyle name="40% - Акцент6 2 4" xfId="308" xr:uid="{00000000-0005-0000-0000-00002A010000}"/>
    <cellStyle name="40% - Акцент6 3" xfId="309" xr:uid="{00000000-0005-0000-0000-00002B010000}"/>
    <cellStyle name="40% - Акцент6 4" xfId="310" xr:uid="{00000000-0005-0000-0000-00002C010000}"/>
    <cellStyle name="40% - Акцент6 5" xfId="311" xr:uid="{00000000-0005-0000-0000-00002D010000}"/>
    <cellStyle name="40% - Акцент6 6" xfId="312" xr:uid="{00000000-0005-0000-0000-00002E010000}"/>
    <cellStyle name="60% - Акцент1 2" xfId="313" xr:uid="{00000000-0005-0000-0000-00002F010000}"/>
    <cellStyle name="60% - Акцент1 2 2" xfId="314" xr:uid="{00000000-0005-0000-0000-000030010000}"/>
    <cellStyle name="60% - Акцент1 2 3" xfId="315" xr:uid="{00000000-0005-0000-0000-000031010000}"/>
    <cellStyle name="60% - Акцент1 2 4" xfId="316" xr:uid="{00000000-0005-0000-0000-000032010000}"/>
    <cellStyle name="60% - Акцент1 3" xfId="317" xr:uid="{00000000-0005-0000-0000-000033010000}"/>
    <cellStyle name="60% - Акцент1 4" xfId="318" xr:uid="{00000000-0005-0000-0000-000034010000}"/>
    <cellStyle name="60% - Акцент1 5" xfId="319" xr:uid="{00000000-0005-0000-0000-000035010000}"/>
    <cellStyle name="60% - Акцент1 6" xfId="320" xr:uid="{00000000-0005-0000-0000-000036010000}"/>
    <cellStyle name="60% - Акцент2 2" xfId="321" xr:uid="{00000000-0005-0000-0000-000037010000}"/>
    <cellStyle name="60% - Акцент2 2 2" xfId="322" xr:uid="{00000000-0005-0000-0000-000038010000}"/>
    <cellStyle name="60% - Акцент2 2 3" xfId="323" xr:uid="{00000000-0005-0000-0000-000039010000}"/>
    <cellStyle name="60% - Акцент2 2 4" xfId="324" xr:uid="{00000000-0005-0000-0000-00003A010000}"/>
    <cellStyle name="60% - Акцент2 3" xfId="325" xr:uid="{00000000-0005-0000-0000-00003B010000}"/>
    <cellStyle name="60% - Акцент2 4" xfId="326" xr:uid="{00000000-0005-0000-0000-00003C010000}"/>
    <cellStyle name="60% - Акцент2 5" xfId="327" xr:uid="{00000000-0005-0000-0000-00003D010000}"/>
    <cellStyle name="60% - Акцент2 6" xfId="328" xr:uid="{00000000-0005-0000-0000-00003E010000}"/>
    <cellStyle name="60% - Акцент3 2" xfId="329" xr:uid="{00000000-0005-0000-0000-00003F010000}"/>
    <cellStyle name="60% - Акцент3 2 2" xfId="330" xr:uid="{00000000-0005-0000-0000-000040010000}"/>
    <cellStyle name="60% - Акцент3 2 3" xfId="331" xr:uid="{00000000-0005-0000-0000-000041010000}"/>
    <cellStyle name="60% - Акцент3 2 4" xfId="332" xr:uid="{00000000-0005-0000-0000-000042010000}"/>
    <cellStyle name="60% - Акцент3 3" xfId="333" xr:uid="{00000000-0005-0000-0000-000043010000}"/>
    <cellStyle name="60% - Акцент3 4" xfId="334" xr:uid="{00000000-0005-0000-0000-000044010000}"/>
    <cellStyle name="60% - Акцент3 5" xfId="335" xr:uid="{00000000-0005-0000-0000-000045010000}"/>
    <cellStyle name="60% - Акцент3 6" xfId="336" xr:uid="{00000000-0005-0000-0000-000046010000}"/>
    <cellStyle name="60% - Акцент4 2" xfId="337" xr:uid="{00000000-0005-0000-0000-000047010000}"/>
    <cellStyle name="60% - Акцент4 2 2" xfId="338" xr:uid="{00000000-0005-0000-0000-000048010000}"/>
    <cellStyle name="60% - Акцент4 2 3" xfId="339" xr:uid="{00000000-0005-0000-0000-000049010000}"/>
    <cellStyle name="60% - Акцент4 2 4" xfId="340" xr:uid="{00000000-0005-0000-0000-00004A010000}"/>
    <cellStyle name="60% - Акцент4 3" xfId="341" xr:uid="{00000000-0005-0000-0000-00004B010000}"/>
    <cellStyle name="60% - Акцент4 4" xfId="342" xr:uid="{00000000-0005-0000-0000-00004C010000}"/>
    <cellStyle name="60% - Акцент4 5" xfId="343" xr:uid="{00000000-0005-0000-0000-00004D010000}"/>
    <cellStyle name="60% - Акцент4 6" xfId="344" xr:uid="{00000000-0005-0000-0000-00004E010000}"/>
    <cellStyle name="60% - Акцент5 2" xfId="345" xr:uid="{00000000-0005-0000-0000-00004F010000}"/>
    <cellStyle name="60% - Акцент5 2 2" xfId="346" xr:uid="{00000000-0005-0000-0000-000050010000}"/>
    <cellStyle name="60% - Акцент5 2 3" xfId="347" xr:uid="{00000000-0005-0000-0000-000051010000}"/>
    <cellStyle name="60% - Акцент5 2 4" xfId="348" xr:uid="{00000000-0005-0000-0000-000052010000}"/>
    <cellStyle name="60% - Акцент5 3" xfId="349" xr:uid="{00000000-0005-0000-0000-000053010000}"/>
    <cellStyle name="60% - Акцент5 4" xfId="350" xr:uid="{00000000-0005-0000-0000-000054010000}"/>
    <cellStyle name="60% - Акцент5 5" xfId="351" xr:uid="{00000000-0005-0000-0000-000055010000}"/>
    <cellStyle name="60% - Акцент5 6" xfId="352" xr:uid="{00000000-0005-0000-0000-000056010000}"/>
    <cellStyle name="60% - Акцент6 2" xfId="353" xr:uid="{00000000-0005-0000-0000-000057010000}"/>
    <cellStyle name="60% - Акцент6 2 2" xfId="354" xr:uid="{00000000-0005-0000-0000-000058010000}"/>
    <cellStyle name="60% - Акцент6 2 3" xfId="355" xr:uid="{00000000-0005-0000-0000-000059010000}"/>
    <cellStyle name="60% - Акцент6 2 4" xfId="356" xr:uid="{00000000-0005-0000-0000-00005A010000}"/>
    <cellStyle name="60% - Акцент6 3" xfId="357" xr:uid="{00000000-0005-0000-0000-00005B010000}"/>
    <cellStyle name="60% - Акцент6 4" xfId="358" xr:uid="{00000000-0005-0000-0000-00005C010000}"/>
    <cellStyle name="60% - Акцент6 5" xfId="359" xr:uid="{00000000-0005-0000-0000-00005D010000}"/>
    <cellStyle name="60% - Акцент6 6" xfId="360" xr:uid="{00000000-0005-0000-0000-00005E010000}"/>
    <cellStyle name="Aaia?iue [0]_laroux" xfId="361" xr:uid="{00000000-0005-0000-0000-00005F010000}"/>
    <cellStyle name="Aaia?iue_laroux" xfId="362" xr:uid="{00000000-0005-0000-0000-000060010000}"/>
    <cellStyle name="Accent1" xfId="363" xr:uid="{00000000-0005-0000-0000-000061010000}"/>
    <cellStyle name="Accent1 - 20%" xfId="364" xr:uid="{00000000-0005-0000-0000-000062010000}"/>
    <cellStyle name="Accent1 - 40%" xfId="365" xr:uid="{00000000-0005-0000-0000-000063010000}"/>
    <cellStyle name="Accent1 - 60%" xfId="366" xr:uid="{00000000-0005-0000-0000-000064010000}"/>
    <cellStyle name="Accent2" xfId="367" xr:uid="{00000000-0005-0000-0000-000065010000}"/>
    <cellStyle name="Accent2 - 20%" xfId="368" xr:uid="{00000000-0005-0000-0000-000066010000}"/>
    <cellStyle name="Accent2 - 40%" xfId="369" xr:uid="{00000000-0005-0000-0000-000067010000}"/>
    <cellStyle name="Accent2 - 60%" xfId="370" xr:uid="{00000000-0005-0000-0000-000068010000}"/>
    <cellStyle name="Accent3" xfId="371" xr:uid="{00000000-0005-0000-0000-000069010000}"/>
    <cellStyle name="Accent3 - 20%" xfId="372" xr:uid="{00000000-0005-0000-0000-00006A010000}"/>
    <cellStyle name="Accent3 - 40%" xfId="373" xr:uid="{00000000-0005-0000-0000-00006B010000}"/>
    <cellStyle name="Accent3 - 60%" xfId="374" xr:uid="{00000000-0005-0000-0000-00006C010000}"/>
    <cellStyle name="Accent4" xfId="375" xr:uid="{00000000-0005-0000-0000-00006D010000}"/>
    <cellStyle name="Accent4 - 20%" xfId="376" xr:uid="{00000000-0005-0000-0000-00006E010000}"/>
    <cellStyle name="Accent4 - 40%" xfId="377" xr:uid="{00000000-0005-0000-0000-00006F010000}"/>
    <cellStyle name="Accent4 - 60%" xfId="378" xr:uid="{00000000-0005-0000-0000-000070010000}"/>
    <cellStyle name="Accent5" xfId="379" xr:uid="{00000000-0005-0000-0000-000071010000}"/>
    <cellStyle name="Accent5 - 20%" xfId="380" xr:uid="{00000000-0005-0000-0000-000072010000}"/>
    <cellStyle name="Accent5 - 40%" xfId="381" xr:uid="{00000000-0005-0000-0000-000073010000}"/>
    <cellStyle name="Accent5 - 60%" xfId="382" xr:uid="{00000000-0005-0000-0000-000074010000}"/>
    <cellStyle name="Accent6" xfId="383" xr:uid="{00000000-0005-0000-0000-000075010000}"/>
    <cellStyle name="Accent6 - 20%" xfId="384" xr:uid="{00000000-0005-0000-0000-000076010000}"/>
    <cellStyle name="Accent6 - 40%" xfId="385" xr:uid="{00000000-0005-0000-0000-000077010000}"/>
    <cellStyle name="Accent6 - 60%" xfId="386" xr:uid="{00000000-0005-0000-0000-000078010000}"/>
    <cellStyle name="account" xfId="387" xr:uid="{00000000-0005-0000-0000-000079010000}"/>
    <cellStyle name="Accounting" xfId="388" xr:uid="{00000000-0005-0000-0000-00007A010000}"/>
    <cellStyle name="Acdldnnueer" xfId="389" xr:uid="{00000000-0005-0000-0000-00007B010000}"/>
    <cellStyle name="Alilciue [0]_13o2" xfId="390" xr:uid="{00000000-0005-0000-0000-00007C010000}"/>
    <cellStyle name="Alilciue_13o2" xfId="391" xr:uid="{00000000-0005-0000-0000-00007D010000}"/>
    <cellStyle name="Amount_from_OSV" xfId="392" xr:uid="{00000000-0005-0000-0000-00007E010000}"/>
    <cellStyle name="Anna" xfId="393" xr:uid="{00000000-0005-0000-0000-00007F010000}"/>
    <cellStyle name="AP_AR_UPS" xfId="394" xr:uid="{00000000-0005-0000-0000-000080010000}"/>
    <cellStyle name="BackGround_General" xfId="395" xr:uid="{00000000-0005-0000-0000-000081010000}"/>
    <cellStyle name="Bad" xfId="396" xr:uid="{00000000-0005-0000-0000-000082010000}"/>
    <cellStyle name="blank" xfId="397" xr:uid="{00000000-0005-0000-0000-000083010000}"/>
    <cellStyle name="Blue_Calculation" xfId="398" xr:uid="{00000000-0005-0000-0000-000084010000}"/>
    <cellStyle name="border" xfId="399" xr:uid="{00000000-0005-0000-0000-000085010000}"/>
    <cellStyle name="border 2" xfId="400" xr:uid="{00000000-0005-0000-0000-000086010000}"/>
    <cellStyle name="border 3" xfId="401" xr:uid="{00000000-0005-0000-0000-000087010000}"/>
    <cellStyle name="border 4" xfId="402" xr:uid="{00000000-0005-0000-0000-000088010000}"/>
    <cellStyle name="border 5" xfId="403" xr:uid="{00000000-0005-0000-0000-000089010000}"/>
    <cellStyle name="border 6" xfId="404" xr:uid="{00000000-0005-0000-0000-00008A010000}"/>
    <cellStyle name="border 7" xfId="405" xr:uid="{00000000-0005-0000-0000-00008B010000}"/>
    <cellStyle name="border 8" xfId="406" xr:uid="{00000000-0005-0000-0000-00008C010000}"/>
    <cellStyle name="border 9" xfId="407" xr:uid="{00000000-0005-0000-0000-00008D010000}"/>
    <cellStyle name="border_DDS_Inv_2011" xfId="408" xr:uid="{00000000-0005-0000-0000-00008E010000}"/>
    <cellStyle name="Calculation" xfId="409" xr:uid="{00000000-0005-0000-0000-00008F010000}"/>
    <cellStyle name="Chapter title" xfId="410" xr:uid="{00000000-0005-0000-0000-000090010000}"/>
    <cellStyle name="Chapter Total" xfId="411" xr:uid="{00000000-0005-0000-0000-000091010000}"/>
    <cellStyle name="Check" xfId="412" xr:uid="{00000000-0005-0000-0000-000092010000}"/>
    <cellStyle name="Check Cell" xfId="413" xr:uid="{00000000-0005-0000-0000-000093010000}"/>
    <cellStyle name="Comma [0]_irl tel sep5" xfId="414" xr:uid="{00000000-0005-0000-0000-000094010000}"/>
    <cellStyle name="Comma_Footnotes_NNovgorod" xfId="415" xr:uid="{00000000-0005-0000-0000-000095010000}"/>
    <cellStyle name="Currency [0]_irl tel sep5" xfId="416" xr:uid="{00000000-0005-0000-0000-000096010000}"/>
    <cellStyle name="Currency_HP-COMP" xfId="417" xr:uid="{00000000-0005-0000-0000-000097010000}"/>
    <cellStyle name="Date" xfId="418" xr:uid="{00000000-0005-0000-0000-000098010000}"/>
    <cellStyle name="default" xfId="419" xr:uid="{00000000-0005-0000-0000-000099010000}"/>
    <cellStyle name="Dezimal [0]_Compiling Utility Macros" xfId="420" xr:uid="{00000000-0005-0000-0000-00009A010000}"/>
    <cellStyle name="Dezimal_Compiling Utility Macros" xfId="421" xr:uid="{00000000-0005-0000-0000-00009B010000}"/>
    <cellStyle name="Emphasis 1" xfId="422" xr:uid="{00000000-0005-0000-0000-00009C010000}"/>
    <cellStyle name="Emphasis 2" xfId="423" xr:uid="{00000000-0005-0000-0000-00009D010000}"/>
    <cellStyle name="Emphasis 3" xfId="424" xr:uid="{00000000-0005-0000-0000-00009E010000}"/>
    <cellStyle name="Flag" xfId="425" xr:uid="{00000000-0005-0000-0000-00009F010000}"/>
    <cellStyle name="Flag 2" xfId="426" xr:uid="{00000000-0005-0000-0000-0000A0010000}"/>
    <cellStyle name="Flag 3" xfId="427" xr:uid="{00000000-0005-0000-0000-0000A1010000}"/>
    <cellStyle name="Flag 4" xfId="428" xr:uid="{00000000-0005-0000-0000-0000A2010000}"/>
    <cellStyle name="Flag 5" xfId="429" xr:uid="{00000000-0005-0000-0000-0000A3010000}"/>
    <cellStyle name="Flag 6" xfId="430" xr:uid="{00000000-0005-0000-0000-0000A4010000}"/>
    <cellStyle name="Flag 7" xfId="431" xr:uid="{00000000-0005-0000-0000-0000A5010000}"/>
    <cellStyle name="Flag 8" xfId="432" xr:uid="{00000000-0005-0000-0000-0000A6010000}"/>
    <cellStyle name="Flag 9" xfId="433" xr:uid="{00000000-0005-0000-0000-0000A7010000}"/>
    <cellStyle name="Flag_DDS_Inv_2011" xfId="434" xr:uid="{00000000-0005-0000-0000-0000A8010000}"/>
    <cellStyle name="Footnotes" xfId="435" xr:uid="{00000000-0005-0000-0000-0000A9010000}"/>
    <cellStyle name="Footnotes 2" xfId="436" xr:uid="{00000000-0005-0000-0000-0000AA010000}"/>
    <cellStyle name="Footnotes 3" xfId="437" xr:uid="{00000000-0005-0000-0000-0000AB010000}"/>
    <cellStyle name="Footnotes 4" xfId="438" xr:uid="{00000000-0005-0000-0000-0000AC010000}"/>
    <cellStyle name="Footnotes 5" xfId="439" xr:uid="{00000000-0005-0000-0000-0000AD010000}"/>
    <cellStyle name="Footnotes 6" xfId="440" xr:uid="{00000000-0005-0000-0000-0000AE010000}"/>
    <cellStyle name="Footnotes 7" xfId="441" xr:uid="{00000000-0005-0000-0000-0000AF010000}"/>
    <cellStyle name="Footnotes 8" xfId="442" xr:uid="{00000000-0005-0000-0000-0000B0010000}"/>
    <cellStyle name="Footnotes 9" xfId="443" xr:uid="{00000000-0005-0000-0000-0000B1010000}"/>
    <cellStyle name="For_B_column" xfId="444" xr:uid="{00000000-0005-0000-0000-0000B2010000}"/>
    <cellStyle name="General_Ledger" xfId="445" xr:uid="{00000000-0005-0000-0000-0000B3010000}"/>
    <cellStyle name="Good" xfId="446" xr:uid="{00000000-0005-0000-0000-0000B4010000}"/>
    <cellStyle name="Grey" xfId="447" xr:uid="{00000000-0005-0000-0000-0000B5010000}"/>
    <cellStyle name="Grey 2" xfId="448" xr:uid="{00000000-0005-0000-0000-0000B6010000}"/>
    <cellStyle name="Grey 3" xfId="449" xr:uid="{00000000-0005-0000-0000-0000B7010000}"/>
    <cellStyle name="Grey 4" xfId="450" xr:uid="{00000000-0005-0000-0000-0000B8010000}"/>
    <cellStyle name="Grey 5" xfId="451" xr:uid="{00000000-0005-0000-0000-0000B9010000}"/>
    <cellStyle name="Grey 6" xfId="452" xr:uid="{00000000-0005-0000-0000-0000BA010000}"/>
    <cellStyle name="Grey 7" xfId="453" xr:uid="{00000000-0005-0000-0000-0000BB010000}"/>
    <cellStyle name="Grey 8" xfId="454" xr:uid="{00000000-0005-0000-0000-0000BC010000}"/>
    <cellStyle name="Grey 9" xfId="455" xr:uid="{00000000-0005-0000-0000-0000BD010000}"/>
    <cellStyle name="Grey_DDS_Inv_2011" xfId="456" xr:uid="{00000000-0005-0000-0000-0000BE010000}"/>
    <cellStyle name="grid" xfId="457" xr:uid="{00000000-0005-0000-0000-0000BF010000}"/>
    <cellStyle name="Heading 1" xfId="458" xr:uid="{00000000-0005-0000-0000-0000C0010000}"/>
    <cellStyle name="Heading 2" xfId="459" xr:uid="{00000000-0005-0000-0000-0000C1010000}"/>
    <cellStyle name="Heading 3" xfId="460" xr:uid="{00000000-0005-0000-0000-0000C2010000}"/>
    <cellStyle name="Heading 4" xfId="461" xr:uid="{00000000-0005-0000-0000-0000C3010000}"/>
    <cellStyle name="Heading2" xfId="462" xr:uid="{00000000-0005-0000-0000-0000C4010000}"/>
    <cellStyle name="Heading2 2" xfId="463" xr:uid="{00000000-0005-0000-0000-0000C5010000}"/>
    <cellStyle name="Heading2 3" xfId="464" xr:uid="{00000000-0005-0000-0000-0000C6010000}"/>
    <cellStyle name="Heading2 4" xfId="465" xr:uid="{00000000-0005-0000-0000-0000C7010000}"/>
    <cellStyle name="Heading2 5" xfId="466" xr:uid="{00000000-0005-0000-0000-0000C8010000}"/>
    <cellStyle name="Heading2 6" xfId="467" xr:uid="{00000000-0005-0000-0000-0000C9010000}"/>
    <cellStyle name="Heading2 7" xfId="468" xr:uid="{00000000-0005-0000-0000-0000CA010000}"/>
    <cellStyle name="Heading2 8" xfId="469" xr:uid="{00000000-0005-0000-0000-0000CB010000}"/>
    <cellStyle name="Heading2 9" xfId="470" xr:uid="{00000000-0005-0000-0000-0000CC010000}"/>
    <cellStyle name="Heading2_DDS_Inv_2011" xfId="471" xr:uid="{00000000-0005-0000-0000-0000CD010000}"/>
    <cellStyle name="Heading3" xfId="472" xr:uid="{00000000-0005-0000-0000-0000CE010000}"/>
    <cellStyle name="Heading3 2" xfId="473" xr:uid="{00000000-0005-0000-0000-0000CF010000}"/>
    <cellStyle name="Heading3 3" xfId="474" xr:uid="{00000000-0005-0000-0000-0000D0010000}"/>
    <cellStyle name="Heading3 4" xfId="475" xr:uid="{00000000-0005-0000-0000-0000D1010000}"/>
    <cellStyle name="Heading3 5" xfId="476" xr:uid="{00000000-0005-0000-0000-0000D2010000}"/>
    <cellStyle name="Heading3 6" xfId="477" xr:uid="{00000000-0005-0000-0000-0000D3010000}"/>
    <cellStyle name="Heading3 7" xfId="478" xr:uid="{00000000-0005-0000-0000-0000D4010000}"/>
    <cellStyle name="Heading3 8" xfId="479" xr:uid="{00000000-0005-0000-0000-0000D5010000}"/>
    <cellStyle name="Heading3 9" xfId="480" xr:uid="{00000000-0005-0000-0000-0000D6010000}"/>
    <cellStyle name="Heading3_DDS_Inv_2011" xfId="481" xr:uid="{00000000-0005-0000-0000-0000D7010000}"/>
    <cellStyle name="Headline I" xfId="482" xr:uid="{00000000-0005-0000-0000-0000D8010000}"/>
    <cellStyle name="Headline I 2" xfId="483" xr:uid="{00000000-0005-0000-0000-0000D9010000}"/>
    <cellStyle name="Headline I 3" xfId="484" xr:uid="{00000000-0005-0000-0000-0000DA010000}"/>
    <cellStyle name="Headline I 4" xfId="485" xr:uid="{00000000-0005-0000-0000-0000DB010000}"/>
    <cellStyle name="Headline I 5" xfId="486" xr:uid="{00000000-0005-0000-0000-0000DC010000}"/>
    <cellStyle name="Headline I 6" xfId="487" xr:uid="{00000000-0005-0000-0000-0000DD010000}"/>
    <cellStyle name="Headline I 7" xfId="488" xr:uid="{00000000-0005-0000-0000-0000DE010000}"/>
    <cellStyle name="Headline I 8" xfId="489" xr:uid="{00000000-0005-0000-0000-0000DF010000}"/>
    <cellStyle name="Headline I 9" xfId="490" xr:uid="{00000000-0005-0000-0000-0000E0010000}"/>
    <cellStyle name="Headline I_DDS_Inv_2011" xfId="491" xr:uid="{00000000-0005-0000-0000-0000E1010000}"/>
    <cellStyle name="Headline II" xfId="492" xr:uid="{00000000-0005-0000-0000-0000E2010000}"/>
    <cellStyle name="Headline II 2" xfId="493" xr:uid="{00000000-0005-0000-0000-0000E3010000}"/>
    <cellStyle name="Headline II 3" xfId="494" xr:uid="{00000000-0005-0000-0000-0000E4010000}"/>
    <cellStyle name="Headline II 4" xfId="495" xr:uid="{00000000-0005-0000-0000-0000E5010000}"/>
    <cellStyle name="Headline II 5" xfId="496" xr:uid="{00000000-0005-0000-0000-0000E6010000}"/>
    <cellStyle name="Headline II 6" xfId="497" xr:uid="{00000000-0005-0000-0000-0000E7010000}"/>
    <cellStyle name="Headline II 7" xfId="498" xr:uid="{00000000-0005-0000-0000-0000E8010000}"/>
    <cellStyle name="Headline II 8" xfId="499" xr:uid="{00000000-0005-0000-0000-0000E9010000}"/>
    <cellStyle name="Headline II 9" xfId="500" xr:uid="{00000000-0005-0000-0000-0000EA010000}"/>
    <cellStyle name="Headline II_DDS_Inv_2011" xfId="501" xr:uid="{00000000-0005-0000-0000-0000EB010000}"/>
    <cellStyle name="Headline III" xfId="502" xr:uid="{00000000-0005-0000-0000-0000EC010000}"/>
    <cellStyle name="Headline III 2" xfId="503" xr:uid="{00000000-0005-0000-0000-0000ED010000}"/>
    <cellStyle name="Headline III 3" xfId="504" xr:uid="{00000000-0005-0000-0000-0000EE010000}"/>
    <cellStyle name="Headline III 4" xfId="505" xr:uid="{00000000-0005-0000-0000-0000EF010000}"/>
    <cellStyle name="Headline III 5" xfId="506" xr:uid="{00000000-0005-0000-0000-0000F0010000}"/>
    <cellStyle name="Headline III 6" xfId="507" xr:uid="{00000000-0005-0000-0000-0000F1010000}"/>
    <cellStyle name="Headline III 7" xfId="508" xr:uid="{00000000-0005-0000-0000-0000F2010000}"/>
    <cellStyle name="Headline III 8" xfId="509" xr:uid="{00000000-0005-0000-0000-0000F3010000}"/>
    <cellStyle name="Headline III 9" xfId="510" xr:uid="{00000000-0005-0000-0000-0000F4010000}"/>
    <cellStyle name="Headline III_DDS_Inv_2011" xfId="511" xr:uid="{00000000-0005-0000-0000-0000F5010000}"/>
    <cellStyle name="Hidden" xfId="512" xr:uid="{00000000-0005-0000-0000-0000F6010000}"/>
    <cellStyle name="Horizontal" xfId="513" xr:uid="{00000000-0005-0000-0000-0000F7010000}"/>
    <cellStyle name="hyperlink" xfId="514" xr:uid="{00000000-0005-0000-0000-0000F8010000}"/>
    <cellStyle name="Iau?iue_13o2" xfId="515" xr:uid="{00000000-0005-0000-0000-0000F9010000}"/>
    <cellStyle name="Input" xfId="516" xr:uid="{00000000-0005-0000-0000-0000FA010000}"/>
    <cellStyle name="Input [yellow]" xfId="517" xr:uid="{00000000-0005-0000-0000-0000FB010000}"/>
    <cellStyle name="Input_Any" xfId="518" xr:uid="{00000000-0005-0000-0000-0000FC010000}"/>
    <cellStyle name="Item Header" xfId="519" xr:uid="{00000000-0005-0000-0000-0000FD010000}"/>
    <cellStyle name="Just_Table" xfId="520" xr:uid="{00000000-0005-0000-0000-0000FE010000}"/>
    <cellStyle name="Komma (0)" xfId="521" xr:uid="{00000000-0005-0000-0000-0000FF010000}"/>
    <cellStyle name="Label_Blue" xfId="522" xr:uid="{00000000-0005-0000-0000-000000020000}"/>
    <cellStyle name="LeftTitle" xfId="523" xr:uid="{00000000-0005-0000-0000-000001020000}"/>
    <cellStyle name="Linked Cell" xfId="524" xr:uid="{00000000-0005-0000-0000-000002020000}"/>
    <cellStyle name="Neutral" xfId="525" xr:uid="{00000000-0005-0000-0000-000003020000}"/>
    <cellStyle name="No_Input" xfId="526" xr:uid="{00000000-0005-0000-0000-000004020000}"/>
    <cellStyle name="Normal - Style1" xfId="527" xr:uid="{00000000-0005-0000-0000-000005020000}"/>
    <cellStyle name="Normal 19" xfId="528" xr:uid="{00000000-0005-0000-0000-000006020000}"/>
    <cellStyle name="Normal 22" xfId="529" xr:uid="{00000000-0005-0000-0000-000007020000}"/>
    <cellStyle name="Normal_128 kbps_Multi Quote (2)" xfId="530" xr:uid="{00000000-0005-0000-0000-000008020000}"/>
    <cellStyle name="normalni_laroux" xfId="531" xr:uid="{00000000-0005-0000-0000-000009020000}"/>
    <cellStyle name="normбlnм_laroux" xfId="532" xr:uid="{00000000-0005-0000-0000-00000A020000}"/>
    <cellStyle name="Note" xfId="533" xr:uid="{00000000-0005-0000-0000-00000B020000}"/>
    <cellStyle name="Note 2" xfId="534" xr:uid="{00000000-0005-0000-0000-00000C020000}"/>
    <cellStyle name="Note 3" xfId="535" xr:uid="{00000000-0005-0000-0000-00000D020000}"/>
    <cellStyle name="Note 4" xfId="536" xr:uid="{00000000-0005-0000-0000-00000E020000}"/>
    <cellStyle name="Note 5" xfId="537" xr:uid="{00000000-0005-0000-0000-00000F020000}"/>
    <cellStyle name="Note 6" xfId="538" xr:uid="{00000000-0005-0000-0000-000010020000}"/>
    <cellStyle name="Note 7" xfId="539" xr:uid="{00000000-0005-0000-0000-000011020000}"/>
    <cellStyle name="Note 8" xfId="540" xr:uid="{00000000-0005-0000-0000-000012020000}"/>
    <cellStyle name="Note 9" xfId="541" xr:uid="{00000000-0005-0000-0000-000013020000}"/>
    <cellStyle name="Note_DDS_Inv_2011" xfId="542" xr:uid="{00000000-0005-0000-0000-000014020000}"/>
    <cellStyle name="Ociriniaue [0]_13o2" xfId="543" xr:uid="{00000000-0005-0000-0000-000015020000}"/>
    <cellStyle name="Ociriniaue_13o2" xfId="544" xr:uid="{00000000-0005-0000-0000-000016020000}"/>
    <cellStyle name="Option" xfId="545" xr:uid="{00000000-0005-0000-0000-000017020000}"/>
    <cellStyle name="OptionHeading" xfId="546" xr:uid="{00000000-0005-0000-0000-000018020000}"/>
    <cellStyle name="OptionHeading 2" xfId="547" xr:uid="{00000000-0005-0000-0000-000019020000}"/>
    <cellStyle name="OptionHeading 3" xfId="548" xr:uid="{00000000-0005-0000-0000-00001A020000}"/>
    <cellStyle name="OptionHeading 4" xfId="549" xr:uid="{00000000-0005-0000-0000-00001B020000}"/>
    <cellStyle name="OptionHeading 5" xfId="550" xr:uid="{00000000-0005-0000-0000-00001C020000}"/>
    <cellStyle name="OptionHeading 6" xfId="551" xr:uid="{00000000-0005-0000-0000-00001D020000}"/>
    <cellStyle name="OptionHeading 7" xfId="552" xr:uid="{00000000-0005-0000-0000-00001E020000}"/>
    <cellStyle name="OptionHeading 8" xfId="553" xr:uid="{00000000-0005-0000-0000-00001F020000}"/>
    <cellStyle name="OptionHeading 9" xfId="554" xr:uid="{00000000-0005-0000-0000-000020020000}"/>
    <cellStyle name="OptionHeading_DDS_Inv_2011" xfId="555" xr:uid="{00000000-0005-0000-0000-000021020000}"/>
    <cellStyle name="Ouny?e [0]_PR" xfId="556" xr:uid="{00000000-0005-0000-0000-000022020000}"/>
    <cellStyle name="Output" xfId="557" xr:uid="{00000000-0005-0000-0000-000023020000}"/>
    <cellStyle name="PageHeading" xfId="558" xr:uid="{00000000-0005-0000-0000-000024020000}"/>
    <cellStyle name="pagetitle" xfId="559" xr:uid="{00000000-0005-0000-0000-000025020000}"/>
    <cellStyle name="Percent [2]" xfId="560" xr:uid="{00000000-0005-0000-0000-000026020000}"/>
    <cellStyle name="Percent_PZ_tables" xfId="561" xr:uid="{00000000-0005-0000-0000-000027020000}"/>
    <cellStyle name="Percentage" xfId="562" xr:uid="{00000000-0005-0000-0000-000028020000}"/>
    <cellStyle name="Price" xfId="563" xr:uid="{00000000-0005-0000-0000-000029020000}"/>
    <cellStyle name="ProductClass" xfId="564" xr:uid="{00000000-0005-0000-0000-00002A020000}"/>
    <cellStyle name="QTitle" xfId="565" xr:uid="{00000000-0005-0000-0000-00002B020000}"/>
    <cellStyle name="Quote_Normal" xfId="566" xr:uid="{00000000-0005-0000-0000-00002C020000}"/>
    <cellStyle name="range" xfId="567" xr:uid="{00000000-0005-0000-0000-00002D020000}"/>
    <cellStyle name="range 10" xfId="568" xr:uid="{00000000-0005-0000-0000-00002E020000}"/>
    <cellStyle name="range 2" xfId="569" xr:uid="{00000000-0005-0000-0000-00002F020000}"/>
    <cellStyle name="range 3" xfId="570" xr:uid="{00000000-0005-0000-0000-000030020000}"/>
    <cellStyle name="range 4" xfId="571" xr:uid="{00000000-0005-0000-0000-000031020000}"/>
    <cellStyle name="range 5" xfId="572" xr:uid="{00000000-0005-0000-0000-000032020000}"/>
    <cellStyle name="range 6" xfId="573" xr:uid="{00000000-0005-0000-0000-000033020000}"/>
    <cellStyle name="range 7" xfId="574" xr:uid="{00000000-0005-0000-0000-000034020000}"/>
    <cellStyle name="range 8" xfId="575" xr:uid="{00000000-0005-0000-0000-000035020000}"/>
    <cellStyle name="range 9" xfId="576" xr:uid="{00000000-0005-0000-0000-000036020000}"/>
    <cellStyle name="range_DDS_Inv_2011" xfId="577" xr:uid="{00000000-0005-0000-0000-000037020000}"/>
    <cellStyle name="rep_complex_change" xfId="578" xr:uid="{00000000-0005-0000-0000-000038020000}"/>
    <cellStyle name="S3" xfId="579" xr:uid="{00000000-0005-0000-0000-000039020000}"/>
    <cellStyle name="S4" xfId="580" xr:uid="{00000000-0005-0000-0000-00003A020000}"/>
    <cellStyle name="Sheet Title" xfId="581" xr:uid="{00000000-0005-0000-0000-00003B020000}"/>
    <cellStyle name="Show_Sell" xfId="582" xr:uid="{00000000-0005-0000-0000-00003C020000}"/>
    <cellStyle name="stand_bord" xfId="583" xr:uid="{00000000-0005-0000-0000-00003D020000}"/>
    <cellStyle name="Standard_Anpassen der Amortisation" xfId="584" xr:uid="{00000000-0005-0000-0000-00003E020000}"/>
    <cellStyle name="Style 1" xfId="585" xr:uid="{00000000-0005-0000-0000-00003F020000}"/>
    <cellStyle name="Table" xfId="586" xr:uid="{00000000-0005-0000-0000-000040020000}"/>
    <cellStyle name="Table 2" xfId="587" xr:uid="{00000000-0005-0000-0000-000041020000}"/>
    <cellStyle name="Table 3" xfId="588" xr:uid="{00000000-0005-0000-0000-000042020000}"/>
    <cellStyle name="Table 4" xfId="589" xr:uid="{00000000-0005-0000-0000-000043020000}"/>
    <cellStyle name="Table 5" xfId="590" xr:uid="{00000000-0005-0000-0000-000044020000}"/>
    <cellStyle name="Table 6" xfId="591" xr:uid="{00000000-0005-0000-0000-000045020000}"/>
    <cellStyle name="Table 7" xfId="592" xr:uid="{00000000-0005-0000-0000-000046020000}"/>
    <cellStyle name="Table 8" xfId="593" xr:uid="{00000000-0005-0000-0000-000047020000}"/>
    <cellStyle name="Table 9" xfId="594" xr:uid="{00000000-0005-0000-0000-000048020000}"/>
    <cellStyle name="Table_Invest_11_факт_март_для КОРРЕКТИРОВКИ ПЛАНА" xfId="595" xr:uid="{00000000-0005-0000-0000-000049020000}"/>
    <cellStyle name="Title" xfId="596" xr:uid="{00000000-0005-0000-0000-00004A020000}"/>
    <cellStyle name="Total" xfId="597" xr:uid="{00000000-0005-0000-0000-00004B020000}"/>
    <cellStyle name="Tusental (0)_Blad1" xfId="598" xr:uid="{00000000-0005-0000-0000-00004C020000}"/>
    <cellStyle name="Tusental_Blad1" xfId="599" xr:uid="{00000000-0005-0000-0000-00004D020000}"/>
    <cellStyle name="Unit" xfId="600" xr:uid="{00000000-0005-0000-0000-00004E020000}"/>
    <cellStyle name="USD" xfId="601" xr:uid="{00000000-0005-0000-0000-00004F020000}"/>
    <cellStyle name="USDsum" xfId="602" xr:uid="{00000000-0005-0000-0000-000050020000}"/>
    <cellStyle name="Validation" xfId="603" xr:uid="{00000000-0005-0000-0000-000051020000}"/>
    <cellStyle name="Valuta (0)_Blad1" xfId="604" xr:uid="{00000000-0005-0000-0000-000052020000}"/>
    <cellStyle name="Valuta_Blad1" xfId="605" xr:uid="{00000000-0005-0000-0000-000053020000}"/>
    <cellStyle name="Vertical" xfId="606" xr:uid="{00000000-0005-0000-0000-000054020000}"/>
    <cellStyle name="Warning Text" xfId="607" xr:uid="{00000000-0005-0000-0000-000055020000}"/>
    <cellStyle name="white" xfId="608" xr:uid="{00000000-0005-0000-0000-000056020000}"/>
    <cellStyle name="Wдhrung [0]_Compiling Utility Macros" xfId="609" xr:uid="{00000000-0005-0000-0000-000057020000}"/>
    <cellStyle name="Wдhrung_Compiling Utility Macros" xfId="610" xr:uid="{00000000-0005-0000-0000-000058020000}"/>
    <cellStyle name="xx_data" xfId="3222" xr:uid="{00000000-0005-0000-0000-000059020000}"/>
    <cellStyle name="Yellow" xfId="611" xr:uid="{00000000-0005-0000-0000-00005A020000}"/>
    <cellStyle name="YelNumbersCurr" xfId="612" xr:uid="{00000000-0005-0000-0000-00005B020000}"/>
    <cellStyle name="YelNumbersCurr 2" xfId="613" xr:uid="{00000000-0005-0000-0000-00005C020000}"/>
    <cellStyle name="YelNumbersCurr 3" xfId="614" xr:uid="{00000000-0005-0000-0000-00005D020000}"/>
    <cellStyle name="YelNumbersCurr_База" xfId="615" xr:uid="{00000000-0005-0000-0000-00005E020000}"/>
    <cellStyle name="Акцент1 2" xfId="616" xr:uid="{00000000-0005-0000-0000-00005F020000}"/>
    <cellStyle name="Акцент1 2 2" xfId="617" xr:uid="{00000000-0005-0000-0000-000060020000}"/>
    <cellStyle name="Акцент1 2 3" xfId="618" xr:uid="{00000000-0005-0000-0000-000061020000}"/>
    <cellStyle name="Акцент1 2 4" xfId="619" xr:uid="{00000000-0005-0000-0000-000062020000}"/>
    <cellStyle name="Акцент1 3" xfId="620" xr:uid="{00000000-0005-0000-0000-000063020000}"/>
    <cellStyle name="Акцент1 4" xfId="621" xr:uid="{00000000-0005-0000-0000-000064020000}"/>
    <cellStyle name="Акцент1 5" xfId="622" xr:uid="{00000000-0005-0000-0000-000065020000}"/>
    <cellStyle name="Акцент1 6" xfId="623" xr:uid="{00000000-0005-0000-0000-000066020000}"/>
    <cellStyle name="Акцент2 2" xfId="624" xr:uid="{00000000-0005-0000-0000-000067020000}"/>
    <cellStyle name="Акцент2 2 2" xfId="625" xr:uid="{00000000-0005-0000-0000-000068020000}"/>
    <cellStyle name="Акцент2 2 3" xfId="626" xr:uid="{00000000-0005-0000-0000-000069020000}"/>
    <cellStyle name="Акцент2 2 4" xfId="627" xr:uid="{00000000-0005-0000-0000-00006A020000}"/>
    <cellStyle name="Акцент2 3" xfId="628" xr:uid="{00000000-0005-0000-0000-00006B020000}"/>
    <cellStyle name="Акцент2 4" xfId="629" xr:uid="{00000000-0005-0000-0000-00006C020000}"/>
    <cellStyle name="Акцент2 5" xfId="630" xr:uid="{00000000-0005-0000-0000-00006D020000}"/>
    <cellStyle name="Акцент2 6" xfId="631" xr:uid="{00000000-0005-0000-0000-00006E020000}"/>
    <cellStyle name="Акцент3 2" xfId="632" xr:uid="{00000000-0005-0000-0000-00006F020000}"/>
    <cellStyle name="Акцент3 2 2" xfId="633" xr:uid="{00000000-0005-0000-0000-000070020000}"/>
    <cellStyle name="Акцент3 2 3" xfId="634" xr:uid="{00000000-0005-0000-0000-000071020000}"/>
    <cellStyle name="Акцент3 2 4" xfId="635" xr:uid="{00000000-0005-0000-0000-000072020000}"/>
    <cellStyle name="Акцент3 3" xfId="636" xr:uid="{00000000-0005-0000-0000-000073020000}"/>
    <cellStyle name="Акцент3 4" xfId="637" xr:uid="{00000000-0005-0000-0000-000074020000}"/>
    <cellStyle name="Акцент3 5" xfId="638" xr:uid="{00000000-0005-0000-0000-000075020000}"/>
    <cellStyle name="Акцент3 6" xfId="639" xr:uid="{00000000-0005-0000-0000-000076020000}"/>
    <cellStyle name="Акцент4 2" xfId="640" xr:uid="{00000000-0005-0000-0000-000077020000}"/>
    <cellStyle name="Акцент4 2 2" xfId="641" xr:uid="{00000000-0005-0000-0000-000078020000}"/>
    <cellStyle name="Акцент4 2 3" xfId="642" xr:uid="{00000000-0005-0000-0000-000079020000}"/>
    <cellStyle name="Акцент4 2 4" xfId="643" xr:uid="{00000000-0005-0000-0000-00007A020000}"/>
    <cellStyle name="Акцент4 3" xfId="644" xr:uid="{00000000-0005-0000-0000-00007B020000}"/>
    <cellStyle name="Акцент4 4" xfId="645" xr:uid="{00000000-0005-0000-0000-00007C020000}"/>
    <cellStyle name="Акцент4 5" xfId="646" xr:uid="{00000000-0005-0000-0000-00007D020000}"/>
    <cellStyle name="Акцент4 6" xfId="647" xr:uid="{00000000-0005-0000-0000-00007E020000}"/>
    <cellStyle name="Акцент5 2" xfId="648" xr:uid="{00000000-0005-0000-0000-00007F020000}"/>
    <cellStyle name="Акцент5 2 2" xfId="649" xr:uid="{00000000-0005-0000-0000-000080020000}"/>
    <cellStyle name="Акцент5 2 3" xfId="650" xr:uid="{00000000-0005-0000-0000-000081020000}"/>
    <cellStyle name="Акцент5 2 4" xfId="651" xr:uid="{00000000-0005-0000-0000-000082020000}"/>
    <cellStyle name="Акцент5 3" xfId="652" xr:uid="{00000000-0005-0000-0000-000083020000}"/>
    <cellStyle name="Акцент5 4" xfId="653" xr:uid="{00000000-0005-0000-0000-000084020000}"/>
    <cellStyle name="Акцент5 5" xfId="654" xr:uid="{00000000-0005-0000-0000-000085020000}"/>
    <cellStyle name="Акцент5 6" xfId="655" xr:uid="{00000000-0005-0000-0000-000086020000}"/>
    <cellStyle name="Акцент6 2" xfId="656" xr:uid="{00000000-0005-0000-0000-000087020000}"/>
    <cellStyle name="Акцент6 2 2" xfId="657" xr:uid="{00000000-0005-0000-0000-000088020000}"/>
    <cellStyle name="Акцент6 2 3" xfId="658" xr:uid="{00000000-0005-0000-0000-000089020000}"/>
    <cellStyle name="Акцент6 2 4" xfId="659" xr:uid="{00000000-0005-0000-0000-00008A020000}"/>
    <cellStyle name="Акцент6 3" xfId="660" xr:uid="{00000000-0005-0000-0000-00008B020000}"/>
    <cellStyle name="Акцент6 4" xfId="661" xr:uid="{00000000-0005-0000-0000-00008C020000}"/>
    <cellStyle name="Акцент6 5" xfId="662" xr:uid="{00000000-0005-0000-0000-00008D020000}"/>
    <cellStyle name="Акцент6 6" xfId="663" xr:uid="{00000000-0005-0000-0000-00008E020000}"/>
    <cellStyle name="Ввод  2" xfId="664" xr:uid="{00000000-0005-0000-0000-00008F020000}"/>
    <cellStyle name="Ввод  2 2" xfId="665" xr:uid="{00000000-0005-0000-0000-000090020000}"/>
    <cellStyle name="Ввод  2 3" xfId="666" xr:uid="{00000000-0005-0000-0000-000091020000}"/>
    <cellStyle name="Ввод  2 4" xfId="667" xr:uid="{00000000-0005-0000-0000-000092020000}"/>
    <cellStyle name="Ввод  3" xfId="668" xr:uid="{00000000-0005-0000-0000-000093020000}"/>
    <cellStyle name="Ввод  4" xfId="669" xr:uid="{00000000-0005-0000-0000-000094020000}"/>
    <cellStyle name="Ввод  5" xfId="670" xr:uid="{00000000-0005-0000-0000-000095020000}"/>
    <cellStyle name="Ввод  6" xfId="671" xr:uid="{00000000-0005-0000-0000-000096020000}"/>
    <cellStyle name="Вывод 2" xfId="672" xr:uid="{00000000-0005-0000-0000-000097020000}"/>
    <cellStyle name="Вывод 2 2" xfId="673" xr:uid="{00000000-0005-0000-0000-000098020000}"/>
    <cellStyle name="Вывод 2 3" xfId="674" xr:uid="{00000000-0005-0000-0000-000099020000}"/>
    <cellStyle name="Вывод 2 4" xfId="675" xr:uid="{00000000-0005-0000-0000-00009A020000}"/>
    <cellStyle name="Вывод 3" xfId="676" xr:uid="{00000000-0005-0000-0000-00009B020000}"/>
    <cellStyle name="Вывод 4" xfId="677" xr:uid="{00000000-0005-0000-0000-00009C020000}"/>
    <cellStyle name="Вывод 5" xfId="678" xr:uid="{00000000-0005-0000-0000-00009D020000}"/>
    <cellStyle name="Вывод 6" xfId="679" xr:uid="{00000000-0005-0000-0000-00009E020000}"/>
    <cellStyle name="Вычисление 2" xfId="680" xr:uid="{00000000-0005-0000-0000-00009F020000}"/>
    <cellStyle name="Вычисление 2 2" xfId="681" xr:uid="{00000000-0005-0000-0000-0000A0020000}"/>
    <cellStyle name="Вычисление 2 3" xfId="682" xr:uid="{00000000-0005-0000-0000-0000A1020000}"/>
    <cellStyle name="Вычисление 2 4" xfId="683" xr:uid="{00000000-0005-0000-0000-0000A2020000}"/>
    <cellStyle name="Вычисление 3" xfId="684" xr:uid="{00000000-0005-0000-0000-0000A3020000}"/>
    <cellStyle name="Вычисление 4" xfId="685" xr:uid="{00000000-0005-0000-0000-0000A4020000}"/>
    <cellStyle name="Вычисление 5" xfId="686" xr:uid="{00000000-0005-0000-0000-0000A5020000}"/>
    <cellStyle name="Вычисление 6" xfId="687" xr:uid="{00000000-0005-0000-0000-0000A6020000}"/>
    <cellStyle name="Гиперссылка" xfId="3231" builtinId="8"/>
    <cellStyle name="Денежный 2" xfId="688" xr:uid="{00000000-0005-0000-0000-0000A8020000}"/>
    <cellStyle name="Денежный 2 2" xfId="689" xr:uid="{00000000-0005-0000-0000-0000A9020000}"/>
    <cellStyle name="ефиду" xfId="690" xr:uid="{00000000-0005-0000-0000-0000AA020000}"/>
    <cellStyle name="Заголовок 1 2" xfId="691" xr:uid="{00000000-0005-0000-0000-0000AB020000}"/>
    <cellStyle name="Заголовок 1 2 2" xfId="692" xr:uid="{00000000-0005-0000-0000-0000AC020000}"/>
    <cellStyle name="Заголовок 1 2 3" xfId="693" xr:uid="{00000000-0005-0000-0000-0000AD020000}"/>
    <cellStyle name="Заголовок 1 2 4" xfId="694" xr:uid="{00000000-0005-0000-0000-0000AE020000}"/>
    <cellStyle name="Заголовок 1 3" xfId="695" xr:uid="{00000000-0005-0000-0000-0000AF020000}"/>
    <cellStyle name="Заголовок 1 4" xfId="696" xr:uid="{00000000-0005-0000-0000-0000B0020000}"/>
    <cellStyle name="Заголовок 1 5" xfId="697" xr:uid="{00000000-0005-0000-0000-0000B1020000}"/>
    <cellStyle name="Заголовок 1 6" xfId="698" xr:uid="{00000000-0005-0000-0000-0000B2020000}"/>
    <cellStyle name="Заголовок 2 2" xfId="699" xr:uid="{00000000-0005-0000-0000-0000B3020000}"/>
    <cellStyle name="Заголовок 2 2 2" xfId="700" xr:uid="{00000000-0005-0000-0000-0000B4020000}"/>
    <cellStyle name="Заголовок 2 2 3" xfId="701" xr:uid="{00000000-0005-0000-0000-0000B5020000}"/>
    <cellStyle name="Заголовок 2 2 4" xfId="702" xr:uid="{00000000-0005-0000-0000-0000B6020000}"/>
    <cellStyle name="Заголовок 2 3" xfId="703" xr:uid="{00000000-0005-0000-0000-0000B7020000}"/>
    <cellStyle name="Заголовок 2 4" xfId="704" xr:uid="{00000000-0005-0000-0000-0000B8020000}"/>
    <cellStyle name="Заголовок 2 5" xfId="705" xr:uid="{00000000-0005-0000-0000-0000B9020000}"/>
    <cellStyle name="Заголовок 2 6" xfId="706" xr:uid="{00000000-0005-0000-0000-0000BA020000}"/>
    <cellStyle name="Заголовок 3 2" xfId="707" xr:uid="{00000000-0005-0000-0000-0000BB020000}"/>
    <cellStyle name="Заголовок 3 2 2" xfId="708" xr:uid="{00000000-0005-0000-0000-0000BC020000}"/>
    <cellStyle name="Заголовок 3 2 3" xfId="709" xr:uid="{00000000-0005-0000-0000-0000BD020000}"/>
    <cellStyle name="Заголовок 3 2 4" xfId="710" xr:uid="{00000000-0005-0000-0000-0000BE020000}"/>
    <cellStyle name="Заголовок 3 3" xfId="711" xr:uid="{00000000-0005-0000-0000-0000BF020000}"/>
    <cellStyle name="Заголовок 3 4" xfId="712" xr:uid="{00000000-0005-0000-0000-0000C0020000}"/>
    <cellStyle name="Заголовок 3 5" xfId="713" xr:uid="{00000000-0005-0000-0000-0000C1020000}"/>
    <cellStyle name="Заголовок 3 6" xfId="714" xr:uid="{00000000-0005-0000-0000-0000C2020000}"/>
    <cellStyle name="Заголовок 4 2" xfId="715" xr:uid="{00000000-0005-0000-0000-0000C3020000}"/>
    <cellStyle name="Заголовок 4 2 2" xfId="716" xr:uid="{00000000-0005-0000-0000-0000C4020000}"/>
    <cellStyle name="Заголовок 4 2 3" xfId="717" xr:uid="{00000000-0005-0000-0000-0000C5020000}"/>
    <cellStyle name="Заголовок 4 2 4" xfId="718" xr:uid="{00000000-0005-0000-0000-0000C6020000}"/>
    <cellStyle name="Заголовок 4 3" xfId="719" xr:uid="{00000000-0005-0000-0000-0000C7020000}"/>
    <cellStyle name="Заголовок 4 4" xfId="720" xr:uid="{00000000-0005-0000-0000-0000C8020000}"/>
    <cellStyle name="Заголовок 4 5" xfId="721" xr:uid="{00000000-0005-0000-0000-0000C9020000}"/>
    <cellStyle name="Заголовок 4 6" xfId="722" xr:uid="{00000000-0005-0000-0000-0000CA020000}"/>
    <cellStyle name="зфпуруфвштп" xfId="723" xr:uid="{00000000-0005-0000-0000-0000CB020000}"/>
    <cellStyle name="Итог 2" xfId="724" xr:uid="{00000000-0005-0000-0000-0000CC020000}"/>
    <cellStyle name="Итог 2 2" xfId="725" xr:uid="{00000000-0005-0000-0000-0000CD020000}"/>
    <cellStyle name="Итог 2 3" xfId="726" xr:uid="{00000000-0005-0000-0000-0000CE020000}"/>
    <cellStyle name="Итог 2 4" xfId="727" xr:uid="{00000000-0005-0000-0000-0000CF020000}"/>
    <cellStyle name="Итог 3" xfId="728" xr:uid="{00000000-0005-0000-0000-0000D0020000}"/>
    <cellStyle name="Итог 4" xfId="729" xr:uid="{00000000-0005-0000-0000-0000D1020000}"/>
    <cellStyle name="Итог 5" xfId="730" xr:uid="{00000000-0005-0000-0000-0000D2020000}"/>
    <cellStyle name="Итог 6" xfId="731" xr:uid="{00000000-0005-0000-0000-0000D3020000}"/>
    <cellStyle name="йешеду" xfId="732" xr:uid="{00000000-0005-0000-0000-0000D4020000}"/>
    <cellStyle name="Контрольная ячейка 2" xfId="733" xr:uid="{00000000-0005-0000-0000-0000D5020000}"/>
    <cellStyle name="Контрольная ячейка 2 2" xfId="734" xr:uid="{00000000-0005-0000-0000-0000D6020000}"/>
    <cellStyle name="Контрольная ячейка 2 3" xfId="735" xr:uid="{00000000-0005-0000-0000-0000D7020000}"/>
    <cellStyle name="Контрольная ячейка 2 4" xfId="736" xr:uid="{00000000-0005-0000-0000-0000D8020000}"/>
    <cellStyle name="Контрольная ячейка 3" xfId="737" xr:uid="{00000000-0005-0000-0000-0000D9020000}"/>
    <cellStyle name="Контрольная ячейка 4" xfId="738" xr:uid="{00000000-0005-0000-0000-0000DA020000}"/>
    <cellStyle name="Контрольная ячейка 5" xfId="739" xr:uid="{00000000-0005-0000-0000-0000DB020000}"/>
    <cellStyle name="Контрольная ячейка 6" xfId="740" xr:uid="{00000000-0005-0000-0000-0000DC020000}"/>
    <cellStyle name="Личный" xfId="741" xr:uid="{00000000-0005-0000-0000-0000DD020000}"/>
    <cellStyle name="Название 2" xfId="742" xr:uid="{00000000-0005-0000-0000-0000DE020000}"/>
    <cellStyle name="Название 2 2" xfId="743" xr:uid="{00000000-0005-0000-0000-0000DF020000}"/>
    <cellStyle name="Название 2 3" xfId="744" xr:uid="{00000000-0005-0000-0000-0000E0020000}"/>
    <cellStyle name="Название 2 4" xfId="745" xr:uid="{00000000-0005-0000-0000-0000E1020000}"/>
    <cellStyle name="Название 3" xfId="746" xr:uid="{00000000-0005-0000-0000-0000E2020000}"/>
    <cellStyle name="Название 4" xfId="747" xr:uid="{00000000-0005-0000-0000-0000E3020000}"/>
    <cellStyle name="Название 5" xfId="748" xr:uid="{00000000-0005-0000-0000-0000E4020000}"/>
    <cellStyle name="Название 6" xfId="749" xr:uid="{00000000-0005-0000-0000-0000E5020000}"/>
    <cellStyle name="Нейтральный 2" xfId="750" xr:uid="{00000000-0005-0000-0000-0000E6020000}"/>
    <cellStyle name="Нейтральный 2 2" xfId="751" xr:uid="{00000000-0005-0000-0000-0000E7020000}"/>
    <cellStyle name="Нейтральный 2 3" xfId="752" xr:uid="{00000000-0005-0000-0000-0000E8020000}"/>
    <cellStyle name="Нейтральный 2 4" xfId="753" xr:uid="{00000000-0005-0000-0000-0000E9020000}"/>
    <cellStyle name="Нейтральный 3" xfId="754" xr:uid="{00000000-0005-0000-0000-0000EA020000}"/>
    <cellStyle name="Нейтральный 4" xfId="755" xr:uid="{00000000-0005-0000-0000-0000EB020000}"/>
    <cellStyle name="Нейтральный 5" xfId="756" xr:uid="{00000000-0005-0000-0000-0000EC020000}"/>
    <cellStyle name="Нейтральный 6" xfId="757" xr:uid="{00000000-0005-0000-0000-0000ED020000}"/>
    <cellStyle name="Ненежный [0]" xfId="758" xr:uid="{00000000-0005-0000-0000-0000EE020000}"/>
    <cellStyle name="Обычный" xfId="0" builtinId="0"/>
    <cellStyle name="Обычный 10" xfId="5" xr:uid="{00000000-0005-0000-0000-0000F0020000}"/>
    <cellStyle name="Обычный 11" xfId="3230" xr:uid="{00000000-0005-0000-0000-0000F1020000}"/>
    <cellStyle name="Обычный 2" xfId="2" xr:uid="{00000000-0005-0000-0000-0000F2020000}"/>
    <cellStyle name="Обычный 2 2" xfId="8" xr:uid="{00000000-0005-0000-0000-0000F3020000}"/>
    <cellStyle name="Обычный 2 2 2" xfId="9" xr:uid="{00000000-0005-0000-0000-0000F4020000}"/>
    <cellStyle name="Обычный 2 2 2 2" xfId="759" xr:uid="{00000000-0005-0000-0000-0000F5020000}"/>
    <cellStyle name="Обычный 2 2 3" xfId="760" xr:uid="{00000000-0005-0000-0000-0000F6020000}"/>
    <cellStyle name="Обычный 2 2 4" xfId="761" xr:uid="{00000000-0005-0000-0000-0000F7020000}"/>
    <cellStyle name="Обычный 2 3" xfId="762" xr:uid="{00000000-0005-0000-0000-0000F8020000}"/>
    <cellStyle name="Обычный 2 3 2" xfId="763" xr:uid="{00000000-0005-0000-0000-0000F9020000}"/>
    <cellStyle name="Обычный 2 4" xfId="4" xr:uid="{00000000-0005-0000-0000-0000FA020000}"/>
    <cellStyle name="Обычный 2 5" xfId="764" xr:uid="{00000000-0005-0000-0000-0000FB020000}"/>
    <cellStyle name="Обычный 2 9" xfId="765" xr:uid="{00000000-0005-0000-0000-0000FC020000}"/>
    <cellStyle name="Обычный 3" xfId="6" xr:uid="{00000000-0005-0000-0000-0000FD020000}"/>
    <cellStyle name="Обычный 3 2" xfId="766" xr:uid="{00000000-0005-0000-0000-0000FE020000}"/>
    <cellStyle name="Обычный 3 2 2" xfId="767" xr:uid="{00000000-0005-0000-0000-0000FF020000}"/>
    <cellStyle name="Обычный 3 2 2 2" xfId="768" xr:uid="{00000000-0005-0000-0000-000000030000}"/>
    <cellStyle name="Обычный 3 2 3" xfId="769" xr:uid="{00000000-0005-0000-0000-000001030000}"/>
    <cellStyle name="Обычный 3 2 4" xfId="770" xr:uid="{00000000-0005-0000-0000-000002030000}"/>
    <cellStyle name="Обычный 3 3" xfId="771" xr:uid="{00000000-0005-0000-0000-000003030000}"/>
    <cellStyle name="Обычный 3 3 2" xfId="772" xr:uid="{00000000-0005-0000-0000-000004030000}"/>
    <cellStyle name="Обычный 3 4" xfId="773" xr:uid="{00000000-0005-0000-0000-000005030000}"/>
    <cellStyle name="Обычный 3 5" xfId="774" xr:uid="{00000000-0005-0000-0000-000006030000}"/>
    <cellStyle name="Обычный 3 5 2" xfId="775" xr:uid="{00000000-0005-0000-0000-000007030000}"/>
    <cellStyle name="Обычный 3 6" xfId="776" xr:uid="{00000000-0005-0000-0000-000008030000}"/>
    <cellStyle name="Обычный 3 7" xfId="3223" xr:uid="{00000000-0005-0000-0000-000009030000}"/>
    <cellStyle name="Обычный 4" xfId="1" xr:uid="{00000000-0005-0000-0000-00000A030000}"/>
    <cellStyle name="Обычный 4 2" xfId="777" xr:uid="{00000000-0005-0000-0000-00000B030000}"/>
    <cellStyle name="Обычный 5" xfId="10" xr:uid="{00000000-0005-0000-0000-00000C030000}"/>
    <cellStyle name="Обычный 5 2" xfId="778" xr:uid="{00000000-0005-0000-0000-00000D030000}"/>
    <cellStyle name="Обычный 5 3" xfId="779" xr:uid="{00000000-0005-0000-0000-00000E030000}"/>
    <cellStyle name="Обычный 5 4" xfId="780" xr:uid="{00000000-0005-0000-0000-00000F030000}"/>
    <cellStyle name="Обычный 6" xfId="781" xr:uid="{00000000-0005-0000-0000-000010030000}"/>
    <cellStyle name="Обычный 7" xfId="782" xr:uid="{00000000-0005-0000-0000-000011030000}"/>
    <cellStyle name="Обычный 7 2" xfId="783" xr:uid="{00000000-0005-0000-0000-000012030000}"/>
    <cellStyle name="Обычный 8" xfId="7" xr:uid="{00000000-0005-0000-0000-000013030000}"/>
    <cellStyle name="Обычный 8 2" xfId="784" xr:uid="{00000000-0005-0000-0000-000014030000}"/>
    <cellStyle name="Обычный 9" xfId="785" xr:uid="{00000000-0005-0000-0000-000015030000}"/>
    <cellStyle name="ПИР" xfId="3228" xr:uid="{00000000-0005-0000-0000-000016030000}"/>
    <cellStyle name="Плохой 2" xfId="786" xr:uid="{00000000-0005-0000-0000-000017030000}"/>
    <cellStyle name="Плохой 2 2" xfId="787" xr:uid="{00000000-0005-0000-0000-000018030000}"/>
    <cellStyle name="Плохой 2 3" xfId="788" xr:uid="{00000000-0005-0000-0000-000019030000}"/>
    <cellStyle name="Плохой 2 4" xfId="789" xr:uid="{00000000-0005-0000-0000-00001A030000}"/>
    <cellStyle name="Плохой 3" xfId="790" xr:uid="{00000000-0005-0000-0000-00001B030000}"/>
    <cellStyle name="Плохой 4" xfId="791" xr:uid="{00000000-0005-0000-0000-00001C030000}"/>
    <cellStyle name="Плохой 5" xfId="792" xr:uid="{00000000-0005-0000-0000-00001D030000}"/>
    <cellStyle name="Плохой 6" xfId="793" xr:uid="{00000000-0005-0000-0000-00001E030000}"/>
    <cellStyle name="Пояснение 2" xfId="794" xr:uid="{00000000-0005-0000-0000-00001F030000}"/>
    <cellStyle name="Пояснение 2 2" xfId="795" xr:uid="{00000000-0005-0000-0000-000020030000}"/>
    <cellStyle name="Пояснение 2 3" xfId="796" xr:uid="{00000000-0005-0000-0000-000021030000}"/>
    <cellStyle name="Пояснение 2 4" xfId="797" xr:uid="{00000000-0005-0000-0000-000022030000}"/>
    <cellStyle name="Пояснение 3" xfId="798" xr:uid="{00000000-0005-0000-0000-000023030000}"/>
    <cellStyle name="Пояснение 4" xfId="799" xr:uid="{00000000-0005-0000-0000-000024030000}"/>
    <cellStyle name="Пояснение 5" xfId="800" xr:uid="{00000000-0005-0000-0000-000025030000}"/>
    <cellStyle name="Пояснение 6" xfId="801" xr:uid="{00000000-0005-0000-0000-000026030000}"/>
    <cellStyle name="Примечание 10" xfId="802" xr:uid="{00000000-0005-0000-0000-000027030000}"/>
    <cellStyle name="Примечание 10 2" xfId="803" xr:uid="{00000000-0005-0000-0000-000028030000}"/>
    <cellStyle name="Примечание 10 2 2" xfId="804" xr:uid="{00000000-0005-0000-0000-000029030000}"/>
    <cellStyle name="Примечание 10 2 3" xfId="805" xr:uid="{00000000-0005-0000-0000-00002A030000}"/>
    <cellStyle name="Примечание 10 3" xfId="806" xr:uid="{00000000-0005-0000-0000-00002B030000}"/>
    <cellStyle name="Примечание 10 3 2" xfId="807" xr:uid="{00000000-0005-0000-0000-00002C030000}"/>
    <cellStyle name="Примечание 10 3 3" xfId="808" xr:uid="{00000000-0005-0000-0000-00002D030000}"/>
    <cellStyle name="Примечание 10 4" xfId="809" xr:uid="{00000000-0005-0000-0000-00002E030000}"/>
    <cellStyle name="Примечание 10 4 2" xfId="810" xr:uid="{00000000-0005-0000-0000-00002F030000}"/>
    <cellStyle name="Примечание 10 4 3" xfId="811" xr:uid="{00000000-0005-0000-0000-000030030000}"/>
    <cellStyle name="Примечание 10 5" xfId="812" xr:uid="{00000000-0005-0000-0000-000031030000}"/>
    <cellStyle name="Примечание 10 6" xfId="813" xr:uid="{00000000-0005-0000-0000-000032030000}"/>
    <cellStyle name="Примечание 11" xfId="814" xr:uid="{00000000-0005-0000-0000-000033030000}"/>
    <cellStyle name="Примечание 11 2" xfId="815" xr:uid="{00000000-0005-0000-0000-000034030000}"/>
    <cellStyle name="Примечание 11 2 2" xfId="816" xr:uid="{00000000-0005-0000-0000-000035030000}"/>
    <cellStyle name="Примечание 11 2 3" xfId="817" xr:uid="{00000000-0005-0000-0000-000036030000}"/>
    <cellStyle name="Примечание 11 3" xfId="818" xr:uid="{00000000-0005-0000-0000-000037030000}"/>
    <cellStyle name="Примечание 11 3 2" xfId="819" xr:uid="{00000000-0005-0000-0000-000038030000}"/>
    <cellStyle name="Примечание 11 3 3" xfId="820" xr:uid="{00000000-0005-0000-0000-000039030000}"/>
    <cellStyle name="Примечание 11 4" xfId="821" xr:uid="{00000000-0005-0000-0000-00003A030000}"/>
    <cellStyle name="Примечание 11 4 2" xfId="822" xr:uid="{00000000-0005-0000-0000-00003B030000}"/>
    <cellStyle name="Примечание 11 4 3" xfId="823" xr:uid="{00000000-0005-0000-0000-00003C030000}"/>
    <cellStyle name="Примечание 11 5" xfId="824" xr:uid="{00000000-0005-0000-0000-00003D030000}"/>
    <cellStyle name="Примечание 11 6" xfId="825" xr:uid="{00000000-0005-0000-0000-00003E030000}"/>
    <cellStyle name="Примечание 12" xfId="826" xr:uid="{00000000-0005-0000-0000-00003F030000}"/>
    <cellStyle name="Примечание 12 2" xfId="827" xr:uid="{00000000-0005-0000-0000-000040030000}"/>
    <cellStyle name="Примечание 12 2 2" xfId="828" xr:uid="{00000000-0005-0000-0000-000041030000}"/>
    <cellStyle name="Примечание 12 2 2 2" xfId="829" xr:uid="{00000000-0005-0000-0000-000042030000}"/>
    <cellStyle name="Примечание 12 2 2 3" xfId="830" xr:uid="{00000000-0005-0000-0000-000043030000}"/>
    <cellStyle name="Примечание 12 2 3" xfId="831" xr:uid="{00000000-0005-0000-0000-000044030000}"/>
    <cellStyle name="Примечание 12 2 4" xfId="832" xr:uid="{00000000-0005-0000-0000-000045030000}"/>
    <cellStyle name="Примечание 12 3" xfId="833" xr:uid="{00000000-0005-0000-0000-000046030000}"/>
    <cellStyle name="Примечание 12 3 2" xfId="834" xr:uid="{00000000-0005-0000-0000-000047030000}"/>
    <cellStyle name="Примечание 12 3 3" xfId="835" xr:uid="{00000000-0005-0000-0000-000048030000}"/>
    <cellStyle name="Примечание 12 4" xfId="836" xr:uid="{00000000-0005-0000-0000-000049030000}"/>
    <cellStyle name="Примечание 12 5" xfId="837" xr:uid="{00000000-0005-0000-0000-00004A030000}"/>
    <cellStyle name="Примечание 13" xfId="838" xr:uid="{00000000-0005-0000-0000-00004B030000}"/>
    <cellStyle name="Примечание 13 2" xfId="839" xr:uid="{00000000-0005-0000-0000-00004C030000}"/>
    <cellStyle name="Примечание 13 2 2" xfId="840" xr:uid="{00000000-0005-0000-0000-00004D030000}"/>
    <cellStyle name="Примечание 13 2 3" xfId="841" xr:uid="{00000000-0005-0000-0000-00004E030000}"/>
    <cellStyle name="Примечание 13 3" xfId="842" xr:uid="{00000000-0005-0000-0000-00004F030000}"/>
    <cellStyle name="Примечание 13 4" xfId="843" xr:uid="{00000000-0005-0000-0000-000050030000}"/>
    <cellStyle name="Примечание 14" xfId="844" xr:uid="{00000000-0005-0000-0000-000051030000}"/>
    <cellStyle name="Примечание 15" xfId="845" xr:uid="{00000000-0005-0000-0000-000052030000}"/>
    <cellStyle name="Примечание 2" xfId="846" xr:uid="{00000000-0005-0000-0000-000053030000}"/>
    <cellStyle name="Примечание 2 10" xfId="847" xr:uid="{00000000-0005-0000-0000-000054030000}"/>
    <cellStyle name="Примечание 2 10 10" xfId="848" xr:uid="{00000000-0005-0000-0000-000055030000}"/>
    <cellStyle name="Примечание 2 10 10 2" xfId="849" xr:uid="{00000000-0005-0000-0000-000056030000}"/>
    <cellStyle name="Примечание 2 10 10 3" xfId="850" xr:uid="{00000000-0005-0000-0000-000057030000}"/>
    <cellStyle name="Примечание 2 10 11" xfId="851" xr:uid="{00000000-0005-0000-0000-000058030000}"/>
    <cellStyle name="Примечание 2 10 12" xfId="852" xr:uid="{00000000-0005-0000-0000-000059030000}"/>
    <cellStyle name="Примечание 2 10 2" xfId="853" xr:uid="{00000000-0005-0000-0000-00005A030000}"/>
    <cellStyle name="Примечание 2 10 2 2" xfId="854" xr:uid="{00000000-0005-0000-0000-00005B030000}"/>
    <cellStyle name="Примечание 2 10 2 2 2" xfId="855" xr:uid="{00000000-0005-0000-0000-00005C030000}"/>
    <cellStyle name="Примечание 2 10 2 2 2 2" xfId="856" xr:uid="{00000000-0005-0000-0000-00005D030000}"/>
    <cellStyle name="Примечание 2 10 2 2 2 3" xfId="857" xr:uid="{00000000-0005-0000-0000-00005E030000}"/>
    <cellStyle name="Примечание 2 10 2 2 3" xfId="858" xr:uid="{00000000-0005-0000-0000-00005F030000}"/>
    <cellStyle name="Примечание 2 10 2 2 3 2" xfId="859" xr:uid="{00000000-0005-0000-0000-000060030000}"/>
    <cellStyle name="Примечание 2 10 2 2 3 3" xfId="860" xr:uid="{00000000-0005-0000-0000-000061030000}"/>
    <cellStyle name="Примечание 2 10 2 2 4" xfId="861" xr:uid="{00000000-0005-0000-0000-000062030000}"/>
    <cellStyle name="Примечание 2 10 2 2 4 2" xfId="862" xr:uid="{00000000-0005-0000-0000-000063030000}"/>
    <cellStyle name="Примечание 2 10 2 2 4 3" xfId="863" xr:uid="{00000000-0005-0000-0000-000064030000}"/>
    <cellStyle name="Примечание 2 10 2 2 5" xfId="864" xr:uid="{00000000-0005-0000-0000-000065030000}"/>
    <cellStyle name="Примечание 2 10 2 2 6" xfId="865" xr:uid="{00000000-0005-0000-0000-000066030000}"/>
    <cellStyle name="Примечание 2 10 2 3" xfId="866" xr:uid="{00000000-0005-0000-0000-000067030000}"/>
    <cellStyle name="Примечание 2 10 2 3 2" xfId="867" xr:uid="{00000000-0005-0000-0000-000068030000}"/>
    <cellStyle name="Примечание 2 10 2 3 2 2" xfId="868" xr:uid="{00000000-0005-0000-0000-000069030000}"/>
    <cellStyle name="Примечание 2 10 2 3 2 3" xfId="869" xr:uid="{00000000-0005-0000-0000-00006A030000}"/>
    <cellStyle name="Примечание 2 10 2 3 3" xfId="870" xr:uid="{00000000-0005-0000-0000-00006B030000}"/>
    <cellStyle name="Примечание 2 10 2 3 3 2" xfId="871" xr:uid="{00000000-0005-0000-0000-00006C030000}"/>
    <cellStyle name="Примечание 2 10 2 3 3 3" xfId="872" xr:uid="{00000000-0005-0000-0000-00006D030000}"/>
    <cellStyle name="Примечание 2 10 2 3 4" xfId="873" xr:uid="{00000000-0005-0000-0000-00006E030000}"/>
    <cellStyle name="Примечание 2 10 2 3 4 2" xfId="874" xr:uid="{00000000-0005-0000-0000-00006F030000}"/>
    <cellStyle name="Примечание 2 10 2 3 4 3" xfId="875" xr:uid="{00000000-0005-0000-0000-000070030000}"/>
    <cellStyle name="Примечание 2 10 2 3 5" xfId="876" xr:uid="{00000000-0005-0000-0000-000071030000}"/>
    <cellStyle name="Примечание 2 10 2 3 6" xfId="877" xr:uid="{00000000-0005-0000-0000-000072030000}"/>
    <cellStyle name="Примечание 2 10 2 4" xfId="878" xr:uid="{00000000-0005-0000-0000-000073030000}"/>
    <cellStyle name="Примечание 2 10 2 4 2" xfId="879" xr:uid="{00000000-0005-0000-0000-000074030000}"/>
    <cellStyle name="Примечание 2 10 2 4 2 2" xfId="880" xr:uid="{00000000-0005-0000-0000-000075030000}"/>
    <cellStyle name="Примечание 2 10 2 4 2 3" xfId="881" xr:uid="{00000000-0005-0000-0000-000076030000}"/>
    <cellStyle name="Примечание 2 10 2 4 3" xfId="882" xr:uid="{00000000-0005-0000-0000-000077030000}"/>
    <cellStyle name="Примечание 2 10 2 4 3 2" xfId="883" xr:uid="{00000000-0005-0000-0000-000078030000}"/>
    <cellStyle name="Примечание 2 10 2 4 3 3" xfId="884" xr:uid="{00000000-0005-0000-0000-000079030000}"/>
    <cellStyle name="Примечание 2 10 2 4 4" xfId="885" xr:uid="{00000000-0005-0000-0000-00007A030000}"/>
    <cellStyle name="Примечание 2 10 2 4 4 2" xfId="886" xr:uid="{00000000-0005-0000-0000-00007B030000}"/>
    <cellStyle name="Примечание 2 10 2 4 4 3" xfId="887" xr:uid="{00000000-0005-0000-0000-00007C030000}"/>
    <cellStyle name="Примечание 2 10 2 4 5" xfId="888" xr:uid="{00000000-0005-0000-0000-00007D030000}"/>
    <cellStyle name="Примечание 2 10 2 4 6" xfId="889" xr:uid="{00000000-0005-0000-0000-00007E030000}"/>
    <cellStyle name="Примечание 2 10 2 5" xfId="890" xr:uid="{00000000-0005-0000-0000-00007F030000}"/>
    <cellStyle name="Примечание 2 10 2 5 2" xfId="891" xr:uid="{00000000-0005-0000-0000-000080030000}"/>
    <cellStyle name="Примечание 2 10 2 5 3" xfId="892" xr:uid="{00000000-0005-0000-0000-000081030000}"/>
    <cellStyle name="Примечание 2 10 2 6" xfId="893" xr:uid="{00000000-0005-0000-0000-000082030000}"/>
    <cellStyle name="Примечание 2 10 2 6 2" xfId="894" xr:uid="{00000000-0005-0000-0000-000083030000}"/>
    <cellStyle name="Примечание 2 10 2 6 3" xfId="895" xr:uid="{00000000-0005-0000-0000-000084030000}"/>
    <cellStyle name="Примечание 2 10 2 7" xfId="896" xr:uid="{00000000-0005-0000-0000-000085030000}"/>
    <cellStyle name="Примечание 2 10 2 7 2" xfId="897" xr:uid="{00000000-0005-0000-0000-000086030000}"/>
    <cellStyle name="Примечание 2 10 2 7 3" xfId="898" xr:uid="{00000000-0005-0000-0000-000087030000}"/>
    <cellStyle name="Примечание 2 10 2 8" xfId="899" xr:uid="{00000000-0005-0000-0000-000088030000}"/>
    <cellStyle name="Примечание 2 10 2 9" xfId="900" xr:uid="{00000000-0005-0000-0000-000089030000}"/>
    <cellStyle name="Примечание 2 10 3" xfId="901" xr:uid="{00000000-0005-0000-0000-00008A030000}"/>
    <cellStyle name="Примечание 2 10 3 2" xfId="902" xr:uid="{00000000-0005-0000-0000-00008B030000}"/>
    <cellStyle name="Примечание 2 10 3 2 2" xfId="903" xr:uid="{00000000-0005-0000-0000-00008C030000}"/>
    <cellStyle name="Примечание 2 10 3 2 2 2" xfId="904" xr:uid="{00000000-0005-0000-0000-00008D030000}"/>
    <cellStyle name="Примечание 2 10 3 2 2 3" xfId="905" xr:uid="{00000000-0005-0000-0000-00008E030000}"/>
    <cellStyle name="Примечание 2 10 3 2 3" xfId="906" xr:uid="{00000000-0005-0000-0000-00008F030000}"/>
    <cellStyle name="Примечание 2 10 3 2 3 2" xfId="907" xr:uid="{00000000-0005-0000-0000-000090030000}"/>
    <cellStyle name="Примечание 2 10 3 2 3 3" xfId="908" xr:uid="{00000000-0005-0000-0000-000091030000}"/>
    <cellStyle name="Примечание 2 10 3 2 4" xfId="909" xr:uid="{00000000-0005-0000-0000-000092030000}"/>
    <cellStyle name="Примечание 2 10 3 2 4 2" xfId="910" xr:uid="{00000000-0005-0000-0000-000093030000}"/>
    <cellStyle name="Примечание 2 10 3 2 4 3" xfId="911" xr:uid="{00000000-0005-0000-0000-000094030000}"/>
    <cellStyle name="Примечание 2 10 3 2 5" xfId="912" xr:uid="{00000000-0005-0000-0000-000095030000}"/>
    <cellStyle name="Примечание 2 10 3 2 6" xfId="913" xr:uid="{00000000-0005-0000-0000-000096030000}"/>
    <cellStyle name="Примечание 2 10 3 3" xfId="914" xr:uid="{00000000-0005-0000-0000-000097030000}"/>
    <cellStyle name="Примечание 2 10 3 3 2" xfId="915" xr:uid="{00000000-0005-0000-0000-000098030000}"/>
    <cellStyle name="Примечание 2 10 3 3 2 2" xfId="916" xr:uid="{00000000-0005-0000-0000-000099030000}"/>
    <cellStyle name="Примечание 2 10 3 3 2 3" xfId="917" xr:uid="{00000000-0005-0000-0000-00009A030000}"/>
    <cellStyle name="Примечание 2 10 3 3 3" xfId="918" xr:uid="{00000000-0005-0000-0000-00009B030000}"/>
    <cellStyle name="Примечание 2 10 3 3 3 2" xfId="919" xr:uid="{00000000-0005-0000-0000-00009C030000}"/>
    <cellStyle name="Примечание 2 10 3 3 3 3" xfId="920" xr:uid="{00000000-0005-0000-0000-00009D030000}"/>
    <cellStyle name="Примечание 2 10 3 3 4" xfId="921" xr:uid="{00000000-0005-0000-0000-00009E030000}"/>
    <cellStyle name="Примечание 2 10 3 3 4 2" xfId="922" xr:uid="{00000000-0005-0000-0000-00009F030000}"/>
    <cellStyle name="Примечание 2 10 3 3 4 3" xfId="923" xr:uid="{00000000-0005-0000-0000-0000A0030000}"/>
    <cellStyle name="Примечание 2 10 3 3 5" xfId="924" xr:uid="{00000000-0005-0000-0000-0000A1030000}"/>
    <cellStyle name="Примечание 2 10 3 3 6" xfId="925" xr:uid="{00000000-0005-0000-0000-0000A2030000}"/>
    <cellStyle name="Примечание 2 10 3 4" xfId="926" xr:uid="{00000000-0005-0000-0000-0000A3030000}"/>
    <cellStyle name="Примечание 2 10 3 4 2" xfId="927" xr:uid="{00000000-0005-0000-0000-0000A4030000}"/>
    <cellStyle name="Примечание 2 10 3 4 2 2" xfId="928" xr:uid="{00000000-0005-0000-0000-0000A5030000}"/>
    <cellStyle name="Примечание 2 10 3 4 2 3" xfId="929" xr:uid="{00000000-0005-0000-0000-0000A6030000}"/>
    <cellStyle name="Примечание 2 10 3 4 3" xfId="930" xr:uid="{00000000-0005-0000-0000-0000A7030000}"/>
    <cellStyle name="Примечание 2 10 3 4 3 2" xfId="931" xr:uid="{00000000-0005-0000-0000-0000A8030000}"/>
    <cellStyle name="Примечание 2 10 3 4 3 3" xfId="932" xr:uid="{00000000-0005-0000-0000-0000A9030000}"/>
    <cellStyle name="Примечание 2 10 3 4 4" xfId="933" xr:uid="{00000000-0005-0000-0000-0000AA030000}"/>
    <cellStyle name="Примечание 2 10 3 4 4 2" xfId="934" xr:uid="{00000000-0005-0000-0000-0000AB030000}"/>
    <cellStyle name="Примечание 2 10 3 4 4 3" xfId="935" xr:uid="{00000000-0005-0000-0000-0000AC030000}"/>
    <cellStyle name="Примечание 2 10 3 4 5" xfId="936" xr:uid="{00000000-0005-0000-0000-0000AD030000}"/>
    <cellStyle name="Примечание 2 10 3 4 6" xfId="937" xr:uid="{00000000-0005-0000-0000-0000AE030000}"/>
    <cellStyle name="Примечание 2 10 3 5" xfId="938" xr:uid="{00000000-0005-0000-0000-0000AF030000}"/>
    <cellStyle name="Примечание 2 10 3 5 2" xfId="939" xr:uid="{00000000-0005-0000-0000-0000B0030000}"/>
    <cellStyle name="Примечание 2 10 3 5 3" xfId="940" xr:uid="{00000000-0005-0000-0000-0000B1030000}"/>
    <cellStyle name="Примечание 2 10 3 6" xfId="941" xr:uid="{00000000-0005-0000-0000-0000B2030000}"/>
    <cellStyle name="Примечание 2 10 3 6 2" xfId="942" xr:uid="{00000000-0005-0000-0000-0000B3030000}"/>
    <cellStyle name="Примечание 2 10 3 6 3" xfId="943" xr:uid="{00000000-0005-0000-0000-0000B4030000}"/>
    <cellStyle name="Примечание 2 10 3 7" xfId="944" xr:uid="{00000000-0005-0000-0000-0000B5030000}"/>
    <cellStyle name="Примечание 2 10 3 7 2" xfId="945" xr:uid="{00000000-0005-0000-0000-0000B6030000}"/>
    <cellStyle name="Примечание 2 10 3 7 3" xfId="946" xr:uid="{00000000-0005-0000-0000-0000B7030000}"/>
    <cellStyle name="Примечание 2 10 3 8" xfId="947" xr:uid="{00000000-0005-0000-0000-0000B8030000}"/>
    <cellStyle name="Примечание 2 10 3 9" xfId="948" xr:uid="{00000000-0005-0000-0000-0000B9030000}"/>
    <cellStyle name="Примечание 2 10 4" xfId="949" xr:uid="{00000000-0005-0000-0000-0000BA030000}"/>
    <cellStyle name="Примечание 2 10 4 2" xfId="950" xr:uid="{00000000-0005-0000-0000-0000BB030000}"/>
    <cellStyle name="Примечание 2 10 4 2 2" xfId="951" xr:uid="{00000000-0005-0000-0000-0000BC030000}"/>
    <cellStyle name="Примечание 2 10 4 2 2 2" xfId="952" xr:uid="{00000000-0005-0000-0000-0000BD030000}"/>
    <cellStyle name="Примечание 2 10 4 2 2 3" xfId="953" xr:uid="{00000000-0005-0000-0000-0000BE030000}"/>
    <cellStyle name="Примечание 2 10 4 2 3" xfId="954" xr:uid="{00000000-0005-0000-0000-0000BF030000}"/>
    <cellStyle name="Примечание 2 10 4 2 3 2" xfId="955" xr:uid="{00000000-0005-0000-0000-0000C0030000}"/>
    <cellStyle name="Примечание 2 10 4 2 3 3" xfId="956" xr:uid="{00000000-0005-0000-0000-0000C1030000}"/>
    <cellStyle name="Примечание 2 10 4 2 4" xfId="957" xr:uid="{00000000-0005-0000-0000-0000C2030000}"/>
    <cellStyle name="Примечание 2 10 4 2 4 2" xfId="958" xr:uid="{00000000-0005-0000-0000-0000C3030000}"/>
    <cellStyle name="Примечание 2 10 4 2 4 3" xfId="959" xr:uid="{00000000-0005-0000-0000-0000C4030000}"/>
    <cellStyle name="Примечание 2 10 4 2 5" xfId="960" xr:uid="{00000000-0005-0000-0000-0000C5030000}"/>
    <cellStyle name="Примечание 2 10 4 2 6" xfId="961" xr:uid="{00000000-0005-0000-0000-0000C6030000}"/>
    <cellStyle name="Примечание 2 10 4 3" xfId="962" xr:uid="{00000000-0005-0000-0000-0000C7030000}"/>
    <cellStyle name="Примечание 2 10 4 3 2" xfId="963" xr:uid="{00000000-0005-0000-0000-0000C8030000}"/>
    <cellStyle name="Примечание 2 10 4 3 2 2" xfId="964" xr:uid="{00000000-0005-0000-0000-0000C9030000}"/>
    <cellStyle name="Примечание 2 10 4 3 2 3" xfId="965" xr:uid="{00000000-0005-0000-0000-0000CA030000}"/>
    <cellStyle name="Примечание 2 10 4 3 3" xfId="966" xr:uid="{00000000-0005-0000-0000-0000CB030000}"/>
    <cellStyle name="Примечание 2 10 4 3 3 2" xfId="967" xr:uid="{00000000-0005-0000-0000-0000CC030000}"/>
    <cellStyle name="Примечание 2 10 4 3 3 3" xfId="968" xr:uid="{00000000-0005-0000-0000-0000CD030000}"/>
    <cellStyle name="Примечание 2 10 4 3 4" xfId="969" xr:uid="{00000000-0005-0000-0000-0000CE030000}"/>
    <cellStyle name="Примечание 2 10 4 3 4 2" xfId="970" xr:uid="{00000000-0005-0000-0000-0000CF030000}"/>
    <cellStyle name="Примечание 2 10 4 3 4 3" xfId="971" xr:uid="{00000000-0005-0000-0000-0000D0030000}"/>
    <cellStyle name="Примечание 2 10 4 3 5" xfId="972" xr:uid="{00000000-0005-0000-0000-0000D1030000}"/>
    <cellStyle name="Примечание 2 10 4 3 6" xfId="973" xr:uid="{00000000-0005-0000-0000-0000D2030000}"/>
    <cellStyle name="Примечание 2 10 4 4" xfId="974" xr:uid="{00000000-0005-0000-0000-0000D3030000}"/>
    <cellStyle name="Примечание 2 10 4 4 2" xfId="975" xr:uid="{00000000-0005-0000-0000-0000D4030000}"/>
    <cellStyle name="Примечание 2 10 4 4 2 2" xfId="976" xr:uid="{00000000-0005-0000-0000-0000D5030000}"/>
    <cellStyle name="Примечание 2 10 4 4 2 3" xfId="977" xr:uid="{00000000-0005-0000-0000-0000D6030000}"/>
    <cellStyle name="Примечание 2 10 4 4 3" xfId="978" xr:uid="{00000000-0005-0000-0000-0000D7030000}"/>
    <cellStyle name="Примечание 2 10 4 4 3 2" xfId="979" xr:uid="{00000000-0005-0000-0000-0000D8030000}"/>
    <cellStyle name="Примечание 2 10 4 4 3 3" xfId="980" xr:uid="{00000000-0005-0000-0000-0000D9030000}"/>
    <cellStyle name="Примечание 2 10 4 4 4" xfId="981" xr:uid="{00000000-0005-0000-0000-0000DA030000}"/>
    <cellStyle name="Примечание 2 10 4 4 4 2" xfId="982" xr:uid="{00000000-0005-0000-0000-0000DB030000}"/>
    <cellStyle name="Примечание 2 10 4 4 4 3" xfId="983" xr:uid="{00000000-0005-0000-0000-0000DC030000}"/>
    <cellStyle name="Примечание 2 10 4 4 5" xfId="984" xr:uid="{00000000-0005-0000-0000-0000DD030000}"/>
    <cellStyle name="Примечание 2 10 4 4 6" xfId="985" xr:uid="{00000000-0005-0000-0000-0000DE030000}"/>
    <cellStyle name="Примечание 2 10 4 5" xfId="986" xr:uid="{00000000-0005-0000-0000-0000DF030000}"/>
    <cellStyle name="Примечание 2 10 4 5 2" xfId="987" xr:uid="{00000000-0005-0000-0000-0000E0030000}"/>
    <cellStyle name="Примечание 2 10 4 5 3" xfId="988" xr:uid="{00000000-0005-0000-0000-0000E1030000}"/>
    <cellStyle name="Примечание 2 10 4 6" xfId="989" xr:uid="{00000000-0005-0000-0000-0000E2030000}"/>
    <cellStyle name="Примечание 2 10 4 6 2" xfId="990" xr:uid="{00000000-0005-0000-0000-0000E3030000}"/>
    <cellStyle name="Примечание 2 10 4 6 3" xfId="991" xr:uid="{00000000-0005-0000-0000-0000E4030000}"/>
    <cellStyle name="Примечание 2 10 4 7" xfId="992" xr:uid="{00000000-0005-0000-0000-0000E5030000}"/>
    <cellStyle name="Примечание 2 10 4 7 2" xfId="993" xr:uid="{00000000-0005-0000-0000-0000E6030000}"/>
    <cellStyle name="Примечание 2 10 4 7 3" xfId="994" xr:uid="{00000000-0005-0000-0000-0000E7030000}"/>
    <cellStyle name="Примечание 2 10 4 8" xfId="995" xr:uid="{00000000-0005-0000-0000-0000E8030000}"/>
    <cellStyle name="Примечание 2 10 4 9" xfId="996" xr:uid="{00000000-0005-0000-0000-0000E9030000}"/>
    <cellStyle name="Примечание 2 10 5" xfId="997" xr:uid="{00000000-0005-0000-0000-0000EA030000}"/>
    <cellStyle name="Примечание 2 10 5 2" xfId="998" xr:uid="{00000000-0005-0000-0000-0000EB030000}"/>
    <cellStyle name="Примечание 2 10 5 2 2" xfId="999" xr:uid="{00000000-0005-0000-0000-0000EC030000}"/>
    <cellStyle name="Примечание 2 10 5 2 3" xfId="1000" xr:uid="{00000000-0005-0000-0000-0000ED030000}"/>
    <cellStyle name="Примечание 2 10 5 3" xfId="1001" xr:uid="{00000000-0005-0000-0000-0000EE030000}"/>
    <cellStyle name="Примечание 2 10 5 3 2" xfId="1002" xr:uid="{00000000-0005-0000-0000-0000EF030000}"/>
    <cellStyle name="Примечание 2 10 5 3 3" xfId="1003" xr:uid="{00000000-0005-0000-0000-0000F0030000}"/>
    <cellStyle name="Примечание 2 10 5 4" xfId="1004" xr:uid="{00000000-0005-0000-0000-0000F1030000}"/>
    <cellStyle name="Примечание 2 10 5 4 2" xfId="1005" xr:uid="{00000000-0005-0000-0000-0000F2030000}"/>
    <cellStyle name="Примечание 2 10 5 4 3" xfId="1006" xr:uid="{00000000-0005-0000-0000-0000F3030000}"/>
    <cellStyle name="Примечание 2 10 5 5" xfId="1007" xr:uid="{00000000-0005-0000-0000-0000F4030000}"/>
    <cellStyle name="Примечание 2 10 5 6" xfId="1008" xr:uid="{00000000-0005-0000-0000-0000F5030000}"/>
    <cellStyle name="Примечание 2 10 6" xfId="1009" xr:uid="{00000000-0005-0000-0000-0000F6030000}"/>
    <cellStyle name="Примечание 2 10 6 2" xfId="1010" xr:uid="{00000000-0005-0000-0000-0000F7030000}"/>
    <cellStyle name="Примечание 2 10 6 2 2" xfId="1011" xr:uid="{00000000-0005-0000-0000-0000F8030000}"/>
    <cellStyle name="Примечание 2 10 6 2 3" xfId="1012" xr:uid="{00000000-0005-0000-0000-0000F9030000}"/>
    <cellStyle name="Примечание 2 10 6 3" xfId="1013" xr:uid="{00000000-0005-0000-0000-0000FA030000}"/>
    <cellStyle name="Примечание 2 10 6 3 2" xfId="1014" xr:uid="{00000000-0005-0000-0000-0000FB030000}"/>
    <cellStyle name="Примечание 2 10 6 3 3" xfId="1015" xr:uid="{00000000-0005-0000-0000-0000FC030000}"/>
    <cellStyle name="Примечание 2 10 6 4" xfId="1016" xr:uid="{00000000-0005-0000-0000-0000FD030000}"/>
    <cellStyle name="Примечание 2 10 6 4 2" xfId="1017" xr:uid="{00000000-0005-0000-0000-0000FE030000}"/>
    <cellStyle name="Примечание 2 10 6 4 3" xfId="1018" xr:uid="{00000000-0005-0000-0000-0000FF030000}"/>
    <cellStyle name="Примечание 2 10 6 5" xfId="1019" xr:uid="{00000000-0005-0000-0000-000000040000}"/>
    <cellStyle name="Примечание 2 10 6 6" xfId="1020" xr:uid="{00000000-0005-0000-0000-000001040000}"/>
    <cellStyle name="Примечание 2 10 7" xfId="1021" xr:uid="{00000000-0005-0000-0000-000002040000}"/>
    <cellStyle name="Примечание 2 10 7 2" xfId="1022" xr:uid="{00000000-0005-0000-0000-000003040000}"/>
    <cellStyle name="Примечание 2 10 7 2 2" xfId="1023" xr:uid="{00000000-0005-0000-0000-000004040000}"/>
    <cellStyle name="Примечание 2 10 7 2 3" xfId="1024" xr:uid="{00000000-0005-0000-0000-000005040000}"/>
    <cellStyle name="Примечание 2 10 7 3" xfId="1025" xr:uid="{00000000-0005-0000-0000-000006040000}"/>
    <cellStyle name="Примечание 2 10 7 3 2" xfId="1026" xr:uid="{00000000-0005-0000-0000-000007040000}"/>
    <cellStyle name="Примечание 2 10 7 3 3" xfId="1027" xr:uid="{00000000-0005-0000-0000-000008040000}"/>
    <cellStyle name="Примечание 2 10 7 4" xfId="1028" xr:uid="{00000000-0005-0000-0000-000009040000}"/>
    <cellStyle name="Примечание 2 10 7 4 2" xfId="1029" xr:uid="{00000000-0005-0000-0000-00000A040000}"/>
    <cellStyle name="Примечание 2 10 7 4 3" xfId="1030" xr:uid="{00000000-0005-0000-0000-00000B040000}"/>
    <cellStyle name="Примечание 2 10 7 5" xfId="1031" xr:uid="{00000000-0005-0000-0000-00000C040000}"/>
    <cellStyle name="Примечание 2 10 7 6" xfId="1032" xr:uid="{00000000-0005-0000-0000-00000D040000}"/>
    <cellStyle name="Примечание 2 10 8" xfId="1033" xr:uid="{00000000-0005-0000-0000-00000E040000}"/>
    <cellStyle name="Примечание 2 10 8 2" xfId="1034" xr:uid="{00000000-0005-0000-0000-00000F040000}"/>
    <cellStyle name="Примечание 2 10 8 3" xfId="1035" xr:uid="{00000000-0005-0000-0000-000010040000}"/>
    <cellStyle name="Примечание 2 10 9" xfId="1036" xr:uid="{00000000-0005-0000-0000-000011040000}"/>
    <cellStyle name="Примечание 2 10 9 2" xfId="1037" xr:uid="{00000000-0005-0000-0000-000012040000}"/>
    <cellStyle name="Примечание 2 10 9 3" xfId="1038" xr:uid="{00000000-0005-0000-0000-000013040000}"/>
    <cellStyle name="Примечание 2 11" xfId="1039" xr:uid="{00000000-0005-0000-0000-000014040000}"/>
    <cellStyle name="Примечание 2 11 2" xfId="1040" xr:uid="{00000000-0005-0000-0000-000015040000}"/>
    <cellStyle name="Примечание 2 11 2 2" xfId="1041" xr:uid="{00000000-0005-0000-0000-000016040000}"/>
    <cellStyle name="Примечание 2 11 2 2 2" xfId="1042" xr:uid="{00000000-0005-0000-0000-000017040000}"/>
    <cellStyle name="Примечание 2 11 2 2 3" xfId="1043" xr:uid="{00000000-0005-0000-0000-000018040000}"/>
    <cellStyle name="Примечание 2 11 2 3" xfId="1044" xr:uid="{00000000-0005-0000-0000-000019040000}"/>
    <cellStyle name="Примечание 2 11 2 3 2" xfId="1045" xr:uid="{00000000-0005-0000-0000-00001A040000}"/>
    <cellStyle name="Примечание 2 11 2 3 3" xfId="1046" xr:uid="{00000000-0005-0000-0000-00001B040000}"/>
    <cellStyle name="Примечание 2 11 2 4" xfId="1047" xr:uid="{00000000-0005-0000-0000-00001C040000}"/>
    <cellStyle name="Примечание 2 11 2 4 2" xfId="1048" xr:uid="{00000000-0005-0000-0000-00001D040000}"/>
    <cellStyle name="Примечание 2 11 2 4 3" xfId="1049" xr:uid="{00000000-0005-0000-0000-00001E040000}"/>
    <cellStyle name="Примечание 2 11 2 5" xfId="1050" xr:uid="{00000000-0005-0000-0000-00001F040000}"/>
    <cellStyle name="Примечание 2 11 2 6" xfId="1051" xr:uid="{00000000-0005-0000-0000-000020040000}"/>
    <cellStyle name="Примечание 2 11 3" xfId="1052" xr:uid="{00000000-0005-0000-0000-000021040000}"/>
    <cellStyle name="Примечание 2 11 3 2" xfId="1053" xr:uid="{00000000-0005-0000-0000-000022040000}"/>
    <cellStyle name="Примечание 2 11 3 2 2" xfId="1054" xr:uid="{00000000-0005-0000-0000-000023040000}"/>
    <cellStyle name="Примечание 2 11 3 2 3" xfId="1055" xr:uid="{00000000-0005-0000-0000-000024040000}"/>
    <cellStyle name="Примечание 2 11 3 3" xfId="1056" xr:uid="{00000000-0005-0000-0000-000025040000}"/>
    <cellStyle name="Примечание 2 11 3 3 2" xfId="1057" xr:uid="{00000000-0005-0000-0000-000026040000}"/>
    <cellStyle name="Примечание 2 11 3 3 3" xfId="1058" xr:uid="{00000000-0005-0000-0000-000027040000}"/>
    <cellStyle name="Примечание 2 11 3 4" xfId="1059" xr:uid="{00000000-0005-0000-0000-000028040000}"/>
    <cellStyle name="Примечание 2 11 3 4 2" xfId="1060" xr:uid="{00000000-0005-0000-0000-000029040000}"/>
    <cellStyle name="Примечание 2 11 3 4 3" xfId="1061" xr:uid="{00000000-0005-0000-0000-00002A040000}"/>
    <cellStyle name="Примечание 2 11 3 5" xfId="1062" xr:uid="{00000000-0005-0000-0000-00002B040000}"/>
    <cellStyle name="Примечание 2 11 3 6" xfId="1063" xr:uid="{00000000-0005-0000-0000-00002C040000}"/>
    <cellStyle name="Примечание 2 11 4" xfId="1064" xr:uid="{00000000-0005-0000-0000-00002D040000}"/>
    <cellStyle name="Примечание 2 11 4 2" xfId="1065" xr:uid="{00000000-0005-0000-0000-00002E040000}"/>
    <cellStyle name="Примечание 2 11 4 2 2" xfId="1066" xr:uid="{00000000-0005-0000-0000-00002F040000}"/>
    <cellStyle name="Примечание 2 11 4 2 3" xfId="1067" xr:uid="{00000000-0005-0000-0000-000030040000}"/>
    <cellStyle name="Примечание 2 11 4 3" xfId="1068" xr:uid="{00000000-0005-0000-0000-000031040000}"/>
    <cellStyle name="Примечание 2 11 4 3 2" xfId="1069" xr:uid="{00000000-0005-0000-0000-000032040000}"/>
    <cellStyle name="Примечание 2 11 4 3 3" xfId="1070" xr:uid="{00000000-0005-0000-0000-000033040000}"/>
    <cellStyle name="Примечание 2 11 4 4" xfId="1071" xr:uid="{00000000-0005-0000-0000-000034040000}"/>
    <cellStyle name="Примечание 2 11 4 4 2" xfId="1072" xr:uid="{00000000-0005-0000-0000-000035040000}"/>
    <cellStyle name="Примечание 2 11 4 4 3" xfId="1073" xr:uid="{00000000-0005-0000-0000-000036040000}"/>
    <cellStyle name="Примечание 2 11 4 5" xfId="1074" xr:uid="{00000000-0005-0000-0000-000037040000}"/>
    <cellStyle name="Примечание 2 11 4 6" xfId="1075" xr:uid="{00000000-0005-0000-0000-000038040000}"/>
    <cellStyle name="Примечание 2 11 5" xfId="1076" xr:uid="{00000000-0005-0000-0000-000039040000}"/>
    <cellStyle name="Примечание 2 11 5 2" xfId="1077" xr:uid="{00000000-0005-0000-0000-00003A040000}"/>
    <cellStyle name="Примечание 2 11 5 3" xfId="1078" xr:uid="{00000000-0005-0000-0000-00003B040000}"/>
    <cellStyle name="Примечание 2 11 6" xfId="1079" xr:uid="{00000000-0005-0000-0000-00003C040000}"/>
    <cellStyle name="Примечание 2 11 6 2" xfId="1080" xr:uid="{00000000-0005-0000-0000-00003D040000}"/>
    <cellStyle name="Примечание 2 11 6 3" xfId="1081" xr:uid="{00000000-0005-0000-0000-00003E040000}"/>
    <cellStyle name="Примечание 2 11 7" xfId="1082" xr:uid="{00000000-0005-0000-0000-00003F040000}"/>
    <cellStyle name="Примечание 2 11 7 2" xfId="1083" xr:uid="{00000000-0005-0000-0000-000040040000}"/>
    <cellStyle name="Примечание 2 11 7 3" xfId="1084" xr:uid="{00000000-0005-0000-0000-000041040000}"/>
    <cellStyle name="Примечание 2 11 8" xfId="1085" xr:uid="{00000000-0005-0000-0000-000042040000}"/>
    <cellStyle name="Примечание 2 11 9" xfId="1086" xr:uid="{00000000-0005-0000-0000-000043040000}"/>
    <cellStyle name="Примечание 2 12" xfId="1087" xr:uid="{00000000-0005-0000-0000-000044040000}"/>
    <cellStyle name="Примечание 2 12 2" xfId="1088" xr:uid="{00000000-0005-0000-0000-000045040000}"/>
    <cellStyle name="Примечание 2 12 2 2" xfId="1089" xr:uid="{00000000-0005-0000-0000-000046040000}"/>
    <cellStyle name="Примечание 2 12 2 2 2" xfId="1090" xr:uid="{00000000-0005-0000-0000-000047040000}"/>
    <cellStyle name="Примечание 2 12 2 2 3" xfId="1091" xr:uid="{00000000-0005-0000-0000-000048040000}"/>
    <cellStyle name="Примечание 2 12 2 3" xfId="1092" xr:uid="{00000000-0005-0000-0000-000049040000}"/>
    <cellStyle name="Примечание 2 12 2 3 2" xfId="1093" xr:uid="{00000000-0005-0000-0000-00004A040000}"/>
    <cellStyle name="Примечание 2 12 2 3 3" xfId="1094" xr:uid="{00000000-0005-0000-0000-00004B040000}"/>
    <cellStyle name="Примечание 2 12 2 4" xfId="1095" xr:uid="{00000000-0005-0000-0000-00004C040000}"/>
    <cellStyle name="Примечание 2 12 2 4 2" xfId="1096" xr:uid="{00000000-0005-0000-0000-00004D040000}"/>
    <cellStyle name="Примечание 2 12 2 4 3" xfId="1097" xr:uid="{00000000-0005-0000-0000-00004E040000}"/>
    <cellStyle name="Примечание 2 12 2 5" xfId="1098" xr:uid="{00000000-0005-0000-0000-00004F040000}"/>
    <cellStyle name="Примечание 2 12 2 6" xfId="1099" xr:uid="{00000000-0005-0000-0000-000050040000}"/>
    <cellStyle name="Примечание 2 12 3" xfId="1100" xr:uid="{00000000-0005-0000-0000-000051040000}"/>
    <cellStyle name="Примечание 2 12 3 2" xfId="1101" xr:uid="{00000000-0005-0000-0000-000052040000}"/>
    <cellStyle name="Примечание 2 12 3 2 2" xfId="1102" xr:uid="{00000000-0005-0000-0000-000053040000}"/>
    <cellStyle name="Примечание 2 12 3 2 3" xfId="1103" xr:uid="{00000000-0005-0000-0000-000054040000}"/>
    <cellStyle name="Примечание 2 12 3 3" xfId="1104" xr:uid="{00000000-0005-0000-0000-000055040000}"/>
    <cellStyle name="Примечание 2 12 3 3 2" xfId="1105" xr:uid="{00000000-0005-0000-0000-000056040000}"/>
    <cellStyle name="Примечание 2 12 3 3 3" xfId="1106" xr:uid="{00000000-0005-0000-0000-000057040000}"/>
    <cellStyle name="Примечание 2 12 3 4" xfId="1107" xr:uid="{00000000-0005-0000-0000-000058040000}"/>
    <cellStyle name="Примечание 2 12 3 4 2" xfId="1108" xr:uid="{00000000-0005-0000-0000-000059040000}"/>
    <cellStyle name="Примечание 2 12 3 4 3" xfId="1109" xr:uid="{00000000-0005-0000-0000-00005A040000}"/>
    <cellStyle name="Примечание 2 12 3 5" xfId="1110" xr:uid="{00000000-0005-0000-0000-00005B040000}"/>
    <cellStyle name="Примечание 2 12 3 6" xfId="1111" xr:uid="{00000000-0005-0000-0000-00005C040000}"/>
    <cellStyle name="Примечание 2 12 4" xfId="1112" xr:uid="{00000000-0005-0000-0000-00005D040000}"/>
    <cellStyle name="Примечание 2 12 4 2" xfId="1113" xr:uid="{00000000-0005-0000-0000-00005E040000}"/>
    <cellStyle name="Примечание 2 12 4 2 2" xfId="1114" xr:uid="{00000000-0005-0000-0000-00005F040000}"/>
    <cellStyle name="Примечание 2 12 4 2 3" xfId="1115" xr:uid="{00000000-0005-0000-0000-000060040000}"/>
    <cellStyle name="Примечание 2 12 4 3" xfId="1116" xr:uid="{00000000-0005-0000-0000-000061040000}"/>
    <cellStyle name="Примечание 2 12 4 3 2" xfId="1117" xr:uid="{00000000-0005-0000-0000-000062040000}"/>
    <cellStyle name="Примечание 2 12 4 3 3" xfId="1118" xr:uid="{00000000-0005-0000-0000-000063040000}"/>
    <cellStyle name="Примечание 2 12 4 4" xfId="1119" xr:uid="{00000000-0005-0000-0000-000064040000}"/>
    <cellStyle name="Примечание 2 12 4 4 2" xfId="1120" xr:uid="{00000000-0005-0000-0000-000065040000}"/>
    <cellStyle name="Примечание 2 12 4 4 3" xfId="1121" xr:uid="{00000000-0005-0000-0000-000066040000}"/>
    <cellStyle name="Примечание 2 12 4 5" xfId="1122" xr:uid="{00000000-0005-0000-0000-000067040000}"/>
    <cellStyle name="Примечание 2 12 4 6" xfId="1123" xr:uid="{00000000-0005-0000-0000-000068040000}"/>
    <cellStyle name="Примечание 2 12 5" xfId="1124" xr:uid="{00000000-0005-0000-0000-000069040000}"/>
    <cellStyle name="Примечание 2 12 5 2" xfId="1125" xr:uid="{00000000-0005-0000-0000-00006A040000}"/>
    <cellStyle name="Примечание 2 12 5 3" xfId="1126" xr:uid="{00000000-0005-0000-0000-00006B040000}"/>
    <cellStyle name="Примечание 2 12 6" xfId="1127" xr:uid="{00000000-0005-0000-0000-00006C040000}"/>
    <cellStyle name="Примечание 2 12 6 2" xfId="1128" xr:uid="{00000000-0005-0000-0000-00006D040000}"/>
    <cellStyle name="Примечание 2 12 6 3" xfId="1129" xr:uid="{00000000-0005-0000-0000-00006E040000}"/>
    <cellStyle name="Примечание 2 12 7" xfId="1130" xr:uid="{00000000-0005-0000-0000-00006F040000}"/>
    <cellStyle name="Примечание 2 12 7 2" xfId="1131" xr:uid="{00000000-0005-0000-0000-000070040000}"/>
    <cellStyle name="Примечание 2 12 7 3" xfId="1132" xr:uid="{00000000-0005-0000-0000-000071040000}"/>
    <cellStyle name="Примечание 2 12 8" xfId="1133" xr:uid="{00000000-0005-0000-0000-000072040000}"/>
    <cellStyle name="Примечание 2 12 9" xfId="1134" xr:uid="{00000000-0005-0000-0000-000073040000}"/>
    <cellStyle name="Примечание 2 13" xfId="1135" xr:uid="{00000000-0005-0000-0000-000074040000}"/>
    <cellStyle name="Примечание 2 13 2" xfId="1136" xr:uid="{00000000-0005-0000-0000-000075040000}"/>
    <cellStyle name="Примечание 2 13 2 2" xfId="1137" xr:uid="{00000000-0005-0000-0000-000076040000}"/>
    <cellStyle name="Примечание 2 13 2 2 2" xfId="1138" xr:uid="{00000000-0005-0000-0000-000077040000}"/>
    <cellStyle name="Примечание 2 13 2 2 3" xfId="1139" xr:uid="{00000000-0005-0000-0000-000078040000}"/>
    <cellStyle name="Примечание 2 13 2 3" xfId="1140" xr:uid="{00000000-0005-0000-0000-000079040000}"/>
    <cellStyle name="Примечание 2 13 2 3 2" xfId="1141" xr:uid="{00000000-0005-0000-0000-00007A040000}"/>
    <cellStyle name="Примечание 2 13 2 3 3" xfId="1142" xr:uid="{00000000-0005-0000-0000-00007B040000}"/>
    <cellStyle name="Примечание 2 13 2 4" xfId="1143" xr:uid="{00000000-0005-0000-0000-00007C040000}"/>
    <cellStyle name="Примечание 2 13 2 4 2" xfId="1144" xr:uid="{00000000-0005-0000-0000-00007D040000}"/>
    <cellStyle name="Примечание 2 13 2 4 3" xfId="1145" xr:uid="{00000000-0005-0000-0000-00007E040000}"/>
    <cellStyle name="Примечание 2 13 2 5" xfId="1146" xr:uid="{00000000-0005-0000-0000-00007F040000}"/>
    <cellStyle name="Примечание 2 13 2 6" xfId="1147" xr:uid="{00000000-0005-0000-0000-000080040000}"/>
    <cellStyle name="Примечание 2 13 3" xfId="1148" xr:uid="{00000000-0005-0000-0000-000081040000}"/>
    <cellStyle name="Примечание 2 13 3 2" xfId="1149" xr:uid="{00000000-0005-0000-0000-000082040000}"/>
    <cellStyle name="Примечание 2 13 3 2 2" xfId="1150" xr:uid="{00000000-0005-0000-0000-000083040000}"/>
    <cellStyle name="Примечание 2 13 3 2 3" xfId="1151" xr:uid="{00000000-0005-0000-0000-000084040000}"/>
    <cellStyle name="Примечание 2 13 3 3" xfId="1152" xr:uid="{00000000-0005-0000-0000-000085040000}"/>
    <cellStyle name="Примечание 2 13 3 3 2" xfId="1153" xr:uid="{00000000-0005-0000-0000-000086040000}"/>
    <cellStyle name="Примечание 2 13 3 3 3" xfId="1154" xr:uid="{00000000-0005-0000-0000-000087040000}"/>
    <cellStyle name="Примечание 2 13 3 4" xfId="1155" xr:uid="{00000000-0005-0000-0000-000088040000}"/>
    <cellStyle name="Примечание 2 13 3 4 2" xfId="1156" xr:uid="{00000000-0005-0000-0000-000089040000}"/>
    <cellStyle name="Примечание 2 13 3 4 3" xfId="1157" xr:uid="{00000000-0005-0000-0000-00008A040000}"/>
    <cellStyle name="Примечание 2 13 3 5" xfId="1158" xr:uid="{00000000-0005-0000-0000-00008B040000}"/>
    <cellStyle name="Примечание 2 13 3 6" xfId="1159" xr:uid="{00000000-0005-0000-0000-00008C040000}"/>
    <cellStyle name="Примечание 2 13 4" xfId="1160" xr:uid="{00000000-0005-0000-0000-00008D040000}"/>
    <cellStyle name="Примечание 2 13 4 2" xfId="1161" xr:uid="{00000000-0005-0000-0000-00008E040000}"/>
    <cellStyle name="Примечание 2 13 4 2 2" xfId="1162" xr:uid="{00000000-0005-0000-0000-00008F040000}"/>
    <cellStyle name="Примечание 2 13 4 2 3" xfId="1163" xr:uid="{00000000-0005-0000-0000-000090040000}"/>
    <cellStyle name="Примечание 2 13 4 3" xfId="1164" xr:uid="{00000000-0005-0000-0000-000091040000}"/>
    <cellStyle name="Примечание 2 13 4 3 2" xfId="1165" xr:uid="{00000000-0005-0000-0000-000092040000}"/>
    <cellStyle name="Примечание 2 13 4 3 3" xfId="1166" xr:uid="{00000000-0005-0000-0000-000093040000}"/>
    <cellStyle name="Примечание 2 13 4 4" xfId="1167" xr:uid="{00000000-0005-0000-0000-000094040000}"/>
    <cellStyle name="Примечание 2 13 4 4 2" xfId="1168" xr:uid="{00000000-0005-0000-0000-000095040000}"/>
    <cellStyle name="Примечание 2 13 4 4 3" xfId="1169" xr:uid="{00000000-0005-0000-0000-000096040000}"/>
    <cellStyle name="Примечание 2 13 4 5" xfId="1170" xr:uid="{00000000-0005-0000-0000-000097040000}"/>
    <cellStyle name="Примечание 2 13 4 6" xfId="1171" xr:uid="{00000000-0005-0000-0000-000098040000}"/>
    <cellStyle name="Примечание 2 13 5" xfId="1172" xr:uid="{00000000-0005-0000-0000-000099040000}"/>
    <cellStyle name="Примечание 2 13 5 2" xfId="1173" xr:uid="{00000000-0005-0000-0000-00009A040000}"/>
    <cellStyle name="Примечание 2 13 5 3" xfId="1174" xr:uid="{00000000-0005-0000-0000-00009B040000}"/>
    <cellStyle name="Примечание 2 13 6" xfId="1175" xr:uid="{00000000-0005-0000-0000-00009C040000}"/>
    <cellStyle name="Примечание 2 13 6 2" xfId="1176" xr:uid="{00000000-0005-0000-0000-00009D040000}"/>
    <cellStyle name="Примечание 2 13 6 3" xfId="1177" xr:uid="{00000000-0005-0000-0000-00009E040000}"/>
    <cellStyle name="Примечание 2 13 7" xfId="1178" xr:uid="{00000000-0005-0000-0000-00009F040000}"/>
    <cellStyle name="Примечание 2 13 7 2" xfId="1179" xr:uid="{00000000-0005-0000-0000-0000A0040000}"/>
    <cellStyle name="Примечание 2 13 7 3" xfId="1180" xr:uid="{00000000-0005-0000-0000-0000A1040000}"/>
    <cellStyle name="Примечание 2 13 8" xfId="1181" xr:uid="{00000000-0005-0000-0000-0000A2040000}"/>
    <cellStyle name="Примечание 2 13 9" xfId="1182" xr:uid="{00000000-0005-0000-0000-0000A3040000}"/>
    <cellStyle name="Примечание 2 14" xfId="1183" xr:uid="{00000000-0005-0000-0000-0000A4040000}"/>
    <cellStyle name="Примечание 2 14 2" xfId="1184" xr:uid="{00000000-0005-0000-0000-0000A5040000}"/>
    <cellStyle name="Примечание 2 14 2 2" xfId="1185" xr:uid="{00000000-0005-0000-0000-0000A6040000}"/>
    <cellStyle name="Примечание 2 14 2 3" xfId="1186" xr:uid="{00000000-0005-0000-0000-0000A7040000}"/>
    <cellStyle name="Примечание 2 14 3" xfId="1187" xr:uid="{00000000-0005-0000-0000-0000A8040000}"/>
    <cellStyle name="Примечание 2 14 3 2" xfId="1188" xr:uid="{00000000-0005-0000-0000-0000A9040000}"/>
    <cellStyle name="Примечание 2 14 3 3" xfId="1189" xr:uid="{00000000-0005-0000-0000-0000AA040000}"/>
    <cellStyle name="Примечание 2 14 4" xfId="1190" xr:uid="{00000000-0005-0000-0000-0000AB040000}"/>
    <cellStyle name="Примечание 2 14 4 2" xfId="1191" xr:uid="{00000000-0005-0000-0000-0000AC040000}"/>
    <cellStyle name="Примечание 2 14 4 3" xfId="1192" xr:uid="{00000000-0005-0000-0000-0000AD040000}"/>
    <cellStyle name="Примечание 2 14 5" xfId="1193" xr:uid="{00000000-0005-0000-0000-0000AE040000}"/>
    <cellStyle name="Примечание 2 14 6" xfId="1194" xr:uid="{00000000-0005-0000-0000-0000AF040000}"/>
    <cellStyle name="Примечание 2 15" xfId="1195" xr:uid="{00000000-0005-0000-0000-0000B0040000}"/>
    <cellStyle name="Примечание 2 15 2" xfId="1196" xr:uid="{00000000-0005-0000-0000-0000B1040000}"/>
    <cellStyle name="Примечание 2 15 2 2" xfId="1197" xr:uid="{00000000-0005-0000-0000-0000B2040000}"/>
    <cellStyle name="Примечание 2 15 2 3" xfId="1198" xr:uid="{00000000-0005-0000-0000-0000B3040000}"/>
    <cellStyle name="Примечание 2 15 3" xfId="1199" xr:uid="{00000000-0005-0000-0000-0000B4040000}"/>
    <cellStyle name="Примечание 2 15 3 2" xfId="1200" xr:uid="{00000000-0005-0000-0000-0000B5040000}"/>
    <cellStyle name="Примечание 2 15 3 3" xfId="1201" xr:uid="{00000000-0005-0000-0000-0000B6040000}"/>
    <cellStyle name="Примечание 2 15 4" xfId="1202" xr:uid="{00000000-0005-0000-0000-0000B7040000}"/>
    <cellStyle name="Примечание 2 15 4 2" xfId="1203" xr:uid="{00000000-0005-0000-0000-0000B8040000}"/>
    <cellStyle name="Примечание 2 15 4 3" xfId="1204" xr:uid="{00000000-0005-0000-0000-0000B9040000}"/>
    <cellStyle name="Примечание 2 15 5" xfId="1205" xr:uid="{00000000-0005-0000-0000-0000BA040000}"/>
    <cellStyle name="Примечание 2 15 6" xfId="1206" xr:uid="{00000000-0005-0000-0000-0000BB040000}"/>
    <cellStyle name="Примечание 2 16" xfId="1207" xr:uid="{00000000-0005-0000-0000-0000BC040000}"/>
    <cellStyle name="Примечание 2 16 2" xfId="1208" xr:uid="{00000000-0005-0000-0000-0000BD040000}"/>
    <cellStyle name="Примечание 2 16 2 2" xfId="1209" xr:uid="{00000000-0005-0000-0000-0000BE040000}"/>
    <cellStyle name="Примечание 2 16 2 3" xfId="1210" xr:uid="{00000000-0005-0000-0000-0000BF040000}"/>
    <cellStyle name="Примечание 2 16 3" xfId="1211" xr:uid="{00000000-0005-0000-0000-0000C0040000}"/>
    <cellStyle name="Примечание 2 16 3 2" xfId="1212" xr:uid="{00000000-0005-0000-0000-0000C1040000}"/>
    <cellStyle name="Примечание 2 16 3 3" xfId="1213" xr:uid="{00000000-0005-0000-0000-0000C2040000}"/>
    <cellStyle name="Примечание 2 16 4" xfId="1214" xr:uid="{00000000-0005-0000-0000-0000C3040000}"/>
    <cellStyle name="Примечание 2 16 4 2" xfId="1215" xr:uid="{00000000-0005-0000-0000-0000C4040000}"/>
    <cellStyle name="Примечание 2 16 4 3" xfId="1216" xr:uid="{00000000-0005-0000-0000-0000C5040000}"/>
    <cellStyle name="Примечание 2 16 5" xfId="1217" xr:uid="{00000000-0005-0000-0000-0000C6040000}"/>
    <cellStyle name="Примечание 2 16 6" xfId="1218" xr:uid="{00000000-0005-0000-0000-0000C7040000}"/>
    <cellStyle name="Примечание 2 17" xfId="1219" xr:uid="{00000000-0005-0000-0000-0000C8040000}"/>
    <cellStyle name="Примечание 2 17 2" xfId="1220" xr:uid="{00000000-0005-0000-0000-0000C9040000}"/>
    <cellStyle name="Примечание 2 17 3" xfId="1221" xr:uid="{00000000-0005-0000-0000-0000CA040000}"/>
    <cellStyle name="Примечание 2 18" xfId="1222" xr:uid="{00000000-0005-0000-0000-0000CB040000}"/>
    <cellStyle name="Примечание 2 18 2" xfId="1223" xr:uid="{00000000-0005-0000-0000-0000CC040000}"/>
    <cellStyle name="Примечание 2 18 3" xfId="1224" xr:uid="{00000000-0005-0000-0000-0000CD040000}"/>
    <cellStyle name="Примечание 2 19" xfId="1225" xr:uid="{00000000-0005-0000-0000-0000CE040000}"/>
    <cellStyle name="Примечание 2 19 2" xfId="1226" xr:uid="{00000000-0005-0000-0000-0000CF040000}"/>
    <cellStyle name="Примечание 2 19 3" xfId="1227" xr:uid="{00000000-0005-0000-0000-0000D0040000}"/>
    <cellStyle name="Примечание 2 2" xfId="1228" xr:uid="{00000000-0005-0000-0000-0000D1040000}"/>
    <cellStyle name="Примечание 2 2 2" xfId="1229" xr:uid="{00000000-0005-0000-0000-0000D2040000}"/>
    <cellStyle name="Примечание 2 2 2 2" xfId="1230" xr:uid="{00000000-0005-0000-0000-0000D3040000}"/>
    <cellStyle name="Примечание 2 2 2 2 2" xfId="1231" xr:uid="{00000000-0005-0000-0000-0000D4040000}"/>
    <cellStyle name="Примечание 2 2 2 2 3" xfId="1232" xr:uid="{00000000-0005-0000-0000-0000D5040000}"/>
    <cellStyle name="Примечание 2 2 2 3" xfId="1233" xr:uid="{00000000-0005-0000-0000-0000D6040000}"/>
    <cellStyle name="Примечание 2 2 2 3 2" xfId="1234" xr:uid="{00000000-0005-0000-0000-0000D7040000}"/>
    <cellStyle name="Примечание 2 2 2 3 3" xfId="1235" xr:uid="{00000000-0005-0000-0000-0000D8040000}"/>
    <cellStyle name="Примечание 2 2 2 4" xfId="1236" xr:uid="{00000000-0005-0000-0000-0000D9040000}"/>
    <cellStyle name="Примечание 2 2 2 4 2" xfId="1237" xr:uid="{00000000-0005-0000-0000-0000DA040000}"/>
    <cellStyle name="Примечание 2 2 2 4 3" xfId="1238" xr:uid="{00000000-0005-0000-0000-0000DB040000}"/>
    <cellStyle name="Примечание 2 2 2 5" xfId="1239" xr:uid="{00000000-0005-0000-0000-0000DC040000}"/>
    <cellStyle name="Примечание 2 2 2 6" xfId="1240" xr:uid="{00000000-0005-0000-0000-0000DD040000}"/>
    <cellStyle name="Примечание 2 2 3" xfId="1241" xr:uid="{00000000-0005-0000-0000-0000DE040000}"/>
    <cellStyle name="Примечание 2 2 3 2" xfId="1242" xr:uid="{00000000-0005-0000-0000-0000DF040000}"/>
    <cellStyle name="Примечание 2 2 3 2 2" xfId="1243" xr:uid="{00000000-0005-0000-0000-0000E0040000}"/>
    <cellStyle name="Примечание 2 2 3 2 3" xfId="1244" xr:uid="{00000000-0005-0000-0000-0000E1040000}"/>
    <cellStyle name="Примечание 2 2 3 3" xfId="1245" xr:uid="{00000000-0005-0000-0000-0000E2040000}"/>
    <cellStyle name="Примечание 2 2 3 3 2" xfId="1246" xr:uid="{00000000-0005-0000-0000-0000E3040000}"/>
    <cellStyle name="Примечание 2 2 3 3 3" xfId="1247" xr:uid="{00000000-0005-0000-0000-0000E4040000}"/>
    <cellStyle name="Примечание 2 2 3 4" xfId="1248" xr:uid="{00000000-0005-0000-0000-0000E5040000}"/>
    <cellStyle name="Примечание 2 2 3 4 2" xfId="1249" xr:uid="{00000000-0005-0000-0000-0000E6040000}"/>
    <cellStyle name="Примечание 2 2 3 4 3" xfId="1250" xr:uid="{00000000-0005-0000-0000-0000E7040000}"/>
    <cellStyle name="Примечание 2 2 3 5" xfId="1251" xr:uid="{00000000-0005-0000-0000-0000E8040000}"/>
    <cellStyle name="Примечание 2 2 3 6" xfId="1252" xr:uid="{00000000-0005-0000-0000-0000E9040000}"/>
    <cellStyle name="Примечание 2 2 4" xfId="1253" xr:uid="{00000000-0005-0000-0000-0000EA040000}"/>
    <cellStyle name="Примечание 2 2 4 2" xfId="1254" xr:uid="{00000000-0005-0000-0000-0000EB040000}"/>
    <cellStyle name="Примечание 2 2 4 2 2" xfId="1255" xr:uid="{00000000-0005-0000-0000-0000EC040000}"/>
    <cellStyle name="Примечание 2 2 4 2 3" xfId="1256" xr:uid="{00000000-0005-0000-0000-0000ED040000}"/>
    <cellStyle name="Примечание 2 2 4 3" xfId="1257" xr:uid="{00000000-0005-0000-0000-0000EE040000}"/>
    <cellStyle name="Примечание 2 2 4 3 2" xfId="1258" xr:uid="{00000000-0005-0000-0000-0000EF040000}"/>
    <cellStyle name="Примечание 2 2 4 3 3" xfId="1259" xr:uid="{00000000-0005-0000-0000-0000F0040000}"/>
    <cellStyle name="Примечание 2 2 4 4" xfId="1260" xr:uid="{00000000-0005-0000-0000-0000F1040000}"/>
    <cellStyle name="Примечание 2 2 4 4 2" xfId="1261" xr:uid="{00000000-0005-0000-0000-0000F2040000}"/>
    <cellStyle name="Примечание 2 2 4 4 3" xfId="1262" xr:uid="{00000000-0005-0000-0000-0000F3040000}"/>
    <cellStyle name="Примечание 2 2 4 5" xfId="1263" xr:uid="{00000000-0005-0000-0000-0000F4040000}"/>
    <cellStyle name="Примечание 2 2 4 6" xfId="1264" xr:uid="{00000000-0005-0000-0000-0000F5040000}"/>
    <cellStyle name="Примечание 2 2 5" xfId="1265" xr:uid="{00000000-0005-0000-0000-0000F6040000}"/>
    <cellStyle name="Примечание 2 2 5 2" xfId="1266" xr:uid="{00000000-0005-0000-0000-0000F7040000}"/>
    <cellStyle name="Примечание 2 2 5 3" xfId="1267" xr:uid="{00000000-0005-0000-0000-0000F8040000}"/>
    <cellStyle name="Примечание 2 2 6" xfId="1268" xr:uid="{00000000-0005-0000-0000-0000F9040000}"/>
    <cellStyle name="Примечание 2 2 6 2" xfId="1269" xr:uid="{00000000-0005-0000-0000-0000FA040000}"/>
    <cellStyle name="Примечание 2 2 6 3" xfId="1270" xr:uid="{00000000-0005-0000-0000-0000FB040000}"/>
    <cellStyle name="Примечание 2 2 7" xfId="1271" xr:uid="{00000000-0005-0000-0000-0000FC040000}"/>
    <cellStyle name="Примечание 2 2 7 2" xfId="1272" xr:uid="{00000000-0005-0000-0000-0000FD040000}"/>
    <cellStyle name="Примечание 2 2 7 3" xfId="1273" xr:uid="{00000000-0005-0000-0000-0000FE040000}"/>
    <cellStyle name="Примечание 2 2 8" xfId="1274" xr:uid="{00000000-0005-0000-0000-0000FF040000}"/>
    <cellStyle name="Примечание 2 2 9" xfId="1275" xr:uid="{00000000-0005-0000-0000-000000050000}"/>
    <cellStyle name="Примечание 2 20" xfId="1276" xr:uid="{00000000-0005-0000-0000-000001050000}"/>
    <cellStyle name="Примечание 2 21" xfId="1277" xr:uid="{00000000-0005-0000-0000-000002050000}"/>
    <cellStyle name="Примечание 2 3" xfId="1278" xr:uid="{00000000-0005-0000-0000-000003050000}"/>
    <cellStyle name="Примечание 2 3 2" xfId="1279" xr:uid="{00000000-0005-0000-0000-000004050000}"/>
    <cellStyle name="Примечание 2 3 2 2" xfId="1280" xr:uid="{00000000-0005-0000-0000-000005050000}"/>
    <cellStyle name="Примечание 2 3 2 2 2" xfId="1281" xr:uid="{00000000-0005-0000-0000-000006050000}"/>
    <cellStyle name="Примечание 2 3 2 2 3" xfId="1282" xr:uid="{00000000-0005-0000-0000-000007050000}"/>
    <cellStyle name="Примечание 2 3 2 3" xfId="1283" xr:uid="{00000000-0005-0000-0000-000008050000}"/>
    <cellStyle name="Примечание 2 3 2 3 2" xfId="1284" xr:uid="{00000000-0005-0000-0000-000009050000}"/>
    <cellStyle name="Примечание 2 3 2 3 3" xfId="1285" xr:uid="{00000000-0005-0000-0000-00000A050000}"/>
    <cellStyle name="Примечание 2 3 2 4" xfId="1286" xr:uid="{00000000-0005-0000-0000-00000B050000}"/>
    <cellStyle name="Примечание 2 3 2 4 2" xfId="1287" xr:uid="{00000000-0005-0000-0000-00000C050000}"/>
    <cellStyle name="Примечание 2 3 2 4 3" xfId="1288" xr:uid="{00000000-0005-0000-0000-00000D050000}"/>
    <cellStyle name="Примечание 2 3 2 5" xfId="1289" xr:uid="{00000000-0005-0000-0000-00000E050000}"/>
    <cellStyle name="Примечание 2 3 2 6" xfId="1290" xr:uid="{00000000-0005-0000-0000-00000F050000}"/>
    <cellStyle name="Примечание 2 3 3" xfId="1291" xr:uid="{00000000-0005-0000-0000-000010050000}"/>
    <cellStyle name="Примечание 2 3 3 2" xfId="1292" xr:uid="{00000000-0005-0000-0000-000011050000}"/>
    <cellStyle name="Примечание 2 3 3 2 2" xfId="1293" xr:uid="{00000000-0005-0000-0000-000012050000}"/>
    <cellStyle name="Примечание 2 3 3 2 3" xfId="1294" xr:uid="{00000000-0005-0000-0000-000013050000}"/>
    <cellStyle name="Примечание 2 3 3 3" xfId="1295" xr:uid="{00000000-0005-0000-0000-000014050000}"/>
    <cellStyle name="Примечание 2 3 3 3 2" xfId="1296" xr:uid="{00000000-0005-0000-0000-000015050000}"/>
    <cellStyle name="Примечание 2 3 3 3 3" xfId="1297" xr:uid="{00000000-0005-0000-0000-000016050000}"/>
    <cellStyle name="Примечание 2 3 3 4" xfId="1298" xr:uid="{00000000-0005-0000-0000-000017050000}"/>
    <cellStyle name="Примечание 2 3 3 4 2" xfId="1299" xr:uid="{00000000-0005-0000-0000-000018050000}"/>
    <cellStyle name="Примечание 2 3 3 4 3" xfId="1300" xr:uid="{00000000-0005-0000-0000-000019050000}"/>
    <cellStyle name="Примечание 2 3 3 5" xfId="1301" xr:uid="{00000000-0005-0000-0000-00001A050000}"/>
    <cellStyle name="Примечание 2 3 3 6" xfId="1302" xr:uid="{00000000-0005-0000-0000-00001B050000}"/>
    <cellStyle name="Примечание 2 3 4" xfId="1303" xr:uid="{00000000-0005-0000-0000-00001C050000}"/>
    <cellStyle name="Примечание 2 3 4 2" xfId="1304" xr:uid="{00000000-0005-0000-0000-00001D050000}"/>
    <cellStyle name="Примечание 2 3 4 2 2" xfId="1305" xr:uid="{00000000-0005-0000-0000-00001E050000}"/>
    <cellStyle name="Примечание 2 3 4 2 3" xfId="1306" xr:uid="{00000000-0005-0000-0000-00001F050000}"/>
    <cellStyle name="Примечание 2 3 4 3" xfId="1307" xr:uid="{00000000-0005-0000-0000-000020050000}"/>
    <cellStyle name="Примечание 2 3 4 3 2" xfId="1308" xr:uid="{00000000-0005-0000-0000-000021050000}"/>
    <cellStyle name="Примечание 2 3 4 3 3" xfId="1309" xr:uid="{00000000-0005-0000-0000-000022050000}"/>
    <cellStyle name="Примечание 2 3 4 4" xfId="1310" xr:uid="{00000000-0005-0000-0000-000023050000}"/>
    <cellStyle name="Примечание 2 3 4 4 2" xfId="1311" xr:uid="{00000000-0005-0000-0000-000024050000}"/>
    <cellStyle name="Примечание 2 3 4 4 3" xfId="1312" xr:uid="{00000000-0005-0000-0000-000025050000}"/>
    <cellStyle name="Примечание 2 3 4 5" xfId="1313" xr:uid="{00000000-0005-0000-0000-000026050000}"/>
    <cellStyle name="Примечание 2 3 4 6" xfId="1314" xr:uid="{00000000-0005-0000-0000-000027050000}"/>
    <cellStyle name="Примечание 2 3 5" xfId="1315" xr:uid="{00000000-0005-0000-0000-000028050000}"/>
    <cellStyle name="Примечание 2 3 5 2" xfId="1316" xr:uid="{00000000-0005-0000-0000-000029050000}"/>
    <cellStyle name="Примечание 2 3 5 3" xfId="1317" xr:uid="{00000000-0005-0000-0000-00002A050000}"/>
    <cellStyle name="Примечание 2 3 6" xfId="1318" xr:uid="{00000000-0005-0000-0000-00002B050000}"/>
    <cellStyle name="Примечание 2 3 6 2" xfId="1319" xr:uid="{00000000-0005-0000-0000-00002C050000}"/>
    <cellStyle name="Примечание 2 3 6 3" xfId="1320" xr:uid="{00000000-0005-0000-0000-00002D050000}"/>
    <cellStyle name="Примечание 2 3 7" xfId="1321" xr:uid="{00000000-0005-0000-0000-00002E050000}"/>
    <cellStyle name="Примечание 2 3 7 2" xfId="1322" xr:uid="{00000000-0005-0000-0000-00002F050000}"/>
    <cellStyle name="Примечание 2 3 7 3" xfId="1323" xr:uid="{00000000-0005-0000-0000-000030050000}"/>
    <cellStyle name="Примечание 2 3 8" xfId="1324" xr:uid="{00000000-0005-0000-0000-000031050000}"/>
    <cellStyle name="Примечание 2 3 9" xfId="1325" xr:uid="{00000000-0005-0000-0000-000032050000}"/>
    <cellStyle name="Примечание 2 4" xfId="1326" xr:uid="{00000000-0005-0000-0000-000033050000}"/>
    <cellStyle name="Примечание 2 4 10" xfId="1327" xr:uid="{00000000-0005-0000-0000-000034050000}"/>
    <cellStyle name="Примечание 2 4 10 2" xfId="1328" xr:uid="{00000000-0005-0000-0000-000035050000}"/>
    <cellStyle name="Примечание 2 4 10 3" xfId="1329" xr:uid="{00000000-0005-0000-0000-000036050000}"/>
    <cellStyle name="Примечание 2 4 11" xfId="1330" xr:uid="{00000000-0005-0000-0000-000037050000}"/>
    <cellStyle name="Примечание 2 4 12" xfId="1331" xr:uid="{00000000-0005-0000-0000-000038050000}"/>
    <cellStyle name="Примечание 2 4 2" xfId="1332" xr:uid="{00000000-0005-0000-0000-000039050000}"/>
    <cellStyle name="Примечание 2 4 2 2" xfId="1333" xr:uid="{00000000-0005-0000-0000-00003A050000}"/>
    <cellStyle name="Примечание 2 4 2 2 2" xfId="1334" xr:uid="{00000000-0005-0000-0000-00003B050000}"/>
    <cellStyle name="Примечание 2 4 2 2 2 2" xfId="1335" xr:uid="{00000000-0005-0000-0000-00003C050000}"/>
    <cellStyle name="Примечание 2 4 2 2 2 3" xfId="1336" xr:uid="{00000000-0005-0000-0000-00003D050000}"/>
    <cellStyle name="Примечание 2 4 2 2 3" xfId="1337" xr:uid="{00000000-0005-0000-0000-00003E050000}"/>
    <cellStyle name="Примечание 2 4 2 2 3 2" xfId="1338" xr:uid="{00000000-0005-0000-0000-00003F050000}"/>
    <cellStyle name="Примечание 2 4 2 2 3 3" xfId="1339" xr:uid="{00000000-0005-0000-0000-000040050000}"/>
    <cellStyle name="Примечание 2 4 2 2 4" xfId="1340" xr:uid="{00000000-0005-0000-0000-000041050000}"/>
    <cellStyle name="Примечание 2 4 2 2 4 2" xfId="1341" xr:uid="{00000000-0005-0000-0000-000042050000}"/>
    <cellStyle name="Примечание 2 4 2 2 4 3" xfId="1342" xr:uid="{00000000-0005-0000-0000-000043050000}"/>
    <cellStyle name="Примечание 2 4 2 2 5" xfId="1343" xr:uid="{00000000-0005-0000-0000-000044050000}"/>
    <cellStyle name="Примечание 2 4 2 2 6" xfId="1344" xr:uid="{00000000-0005-0000-0000-000045050000}"/>
    <cellStyle name="Примечание 2 4 2 3" xfId="1345" xr:uid="{00000000-0005-0000-0000-000046050000}"/>
    <cellStyle name="Примечание 2 4 2 3 2" xfId="1346" xr:uid="{00000000-0005-0000-0000-000047050000}"/>
    <cellStyle name="Примечание 2 4 2 3 2 2" xfId="1347" xr:uid="{00000000-0005-0000-0000-000048050000}"/>
    <cellStyle name="Примечание 2 4 2 3 2 3" xfId="1348" xr:uid="{00000000-0005-0000-0000-000049050000}"/>
    <cellStyle name="Примечание 2 4 2 3 3" xfId="1349" xr:uid="{00000000-0005-0000-0000-00004A050000}"/>
    <cellStyle name="Примечание 2 4 2 3 3 2" xfId="1350" xr:uid="{00000000-0005-0000-0000-00004B050000}"/>
    <cellStyle name="Примечание 2 4 2 3 3 3" xfId="1351" xr:uid="{00000000-0005-0000-0000-00004C050000}"/>
    <cellStyle name="Примечание 2 4 2 3 4" xfId="1352" xr:uid="{00000000-0005-0000-0000-00004D050000}"/>
    <cellStyle name="Примечание 2 4 2 3 4 2" xfId="1353" xr:uid="{00000000-0005-0000-0000-00004E050000}"/>
    <cellStyle name="Примечание 2 4 2 3 4 3" xfId="1354" xr:uid="{00000000-0005-0000-0000-00004F050000}"/>
    <cellStyle name="Примечание 2 4 2 3 5" xfId="1355" xr:uid="{00000000-0005-0000-0000-000050050000}"/>
    <cellStyle name="Примечание 2 4 2 3 6" xfId="1356" xr:uid="{00000000-0005-0000-0000-000051050000}"/>
    <cellStyle name="Примечание 2 4 2 4" xfId="1357" xr:uid="{00000000-0005-0000-0000-000052050000}"/>
    <cellStyle name="Примечание 2 4 2 4 2" xfId="1358" xr:uid="{00000000-0005-0000-0000-000053050000}"/>
    <cellStyle name="Примечание 2 4 2 4 2 2" xfId="1359" xr:uid="{00000000-0005-0000-0000-000054050000}"/>
    <cellStyle name="Примечание 2 4 2 4 2 3" xfId="1360" xr:uid="{00000000-0005-0000-0000-000055050000}"/>
    <cellStyle name="Примечание 2 4 2 4 3" xfId="1361" xr:uid="{00000000-0005-0000-0000-000056050000}"/>
    <cellStyle name="Примечание 2 4 2 4 3 2" xfId="1362" xr:uid="{00000000-0005-0000-0000-000057050000}"/>
    <cellStyle name="Примечание 2 4 2 4 3 3" xfId="1363" xr:uid="{00000000-0005-0000-0000-000058050000}"/>
    <cellStyle name="Примечание 2 4 2 4 4" xfId="1364" xr:uid="{00000000-0005-0000-0000-000059050000}"/>
    <cellStyle name="Примечание 2 4 2 4 4 2" xfId="1365" xr:uid="{00000000-0005-0000-0000-00005A050000}"/>
    <cellStyle name="Примечание 2 4 2 4 4 3" xfId="1366" xr:uid="{00000000-0005-0000-0000-00005B050000}"/>
    <cellStyle name="Примечание 2 4 2 4 5" xfId="1367" xr:uid="{00000000-0005-0000-0000-00005C050000}"/>
    <cellStyle name="Примечание 2 4 2 4 6" xfId="1368" xr:uid="{00000000-0005-0000-0000-00005D050000}"/>
    <cellStyle name="Примечание 2 4 2 5" xfId="1369" xr:uid="{00000000-0005-0000-0000-00005E050000}"/>
    <cellStyle name="Примечание 2 4 2 5 2" xfId="1370" xr:uid="{00000000-0005-0000-0000-00005F050000}"/>
    <cellStyle name="Примечание 2 4 2 5 3" xfId="1371" xr:uid="{00000000-0005-0000-0000-000060050000}"/>
    <cellStyle name="Примечание 2 4 2 6" xfId="1372" xr:uid="{00000000-0005-0000-0000-000061050000}"/>
    <cellStyle name="Примечание 2 4 2 6 2" xfId="1373" xr:uid="{00000000-0005-0000-0000-000062050000}"/>
    <cellStyle name="Примечание 2 4 2 6 3" xfId="1374" xr:uid="{00000000-0005-0000-0000-000063050000}"/>
    <cellStyle name="Примечание 2 4 2 7" xfId="1375" xr:uid="{00000000-0005-0000-0000-000064050000}"/>
    <cellStyle name="Примечание 2 4 2 7 2" xfId="1376" xr:uid="{00000000-0005-0000-0000-000065050000}"/>
    <cellStyle name="Примечание 2 4 2 7 3" xfId="1377" xr:uid="{00000000-0005-0000-0000-000066050000}"/>
    <cellStyle name="Примечание 2 4 2 8" xfId="1378" xr:uid="{00000000-0005-0000-0000-000067050000}"/>
    <cellStyle name="Примечание 2 4 2 9" xfId="1379" xr:uid="{00000000-0005-0000-0000-000068050000}"/>
    <cellStyle name="Примечание 2 4 3" xfId="1380" xr:uid="{00000000-0005-0000-0000-000069050000}"/>
    <cellStyle name="Примечание 2 4 3 2" xfId="1381" xr:uid="{00000000-0005-0000-0000-00006A050000}"/>
    <cellStyle name="Примечание 2 4 3 2 2" xfId="1382" xr:uid="{00000000-0005-0000-0000-00006B050000}"/>
    <cellStyle name="Примечание 2 4 3 2 2 2" xfId="1383" xr:uid="{00000000-0005-0000-0000-00006C050000}"/>
    <cellStyle name="Примечание 2 4 3 2 2 3" xfId="1384" xr:uid="{00000000-0005-0000-0000-00006D050000}"/>
    <cellStyle name="Примечание 2 4 3 2 3" xfId="1385" xr:uid="{00000000-0005-0000-0000-00006E050000}"/>
    <cellStyle name="Примечание 2 4 3 2 3 2" xfId="1386" xr:uid="{00000000-0005-0000-0000-00006F050000}"/>
    <cellStyle name="Примечание 2 4 3 2 3 3" xfId="1387" xr:uid="{00000000-0005-0000-0000-000070050000}"/>
    <cellStyle name="Примечание 2 4 3 2 4" xfId="1388" xr:uid="{00000000-0005-0000-0000-000071050000}"/>
    <cellStyle name="Примечание 2 4 3 2 4 2" xfId="1389" xr:uid="{00000000-0005-0000-0000-000072050000}"/>
    <cellStyle name="Примечание 2 4 3 2 4 3" xfId="1390" xr:uid="{00000000-0005-0000-0000-000073050000}"/>
    <cellStyle name="Примечание 2 4 3 2 5" xfId="1391" xr:uid="{00000000-0005-0000-0000-000074050000}"/>
    <cellStyle name="Примечание 2 4 3 2 6" xfId="1392" xr:uid="{00000000-0005-0000-0000-000075050000}"/>
    <cellStyle name="Примечание 2 4 3 3" xfId="1393" xr:uid="{00000000-0005-0000-0000-000076050000}"/>
    <cellStyle name="Примечание 2 4 3 3 2" xfId="1394" xr:uid="{00000000-0005-0000-0000-000077050000}"/>
    <cellStyle name="Примечание 2 4 3 3 2 2" xfId="1395" xr:uid="{00000000-0005-0000-0000-000078050000}"/>
    <cellStyle name="Примечание 2 4 3 3 2 3" xfId="1396" xr:uid="{00000000-0005-0000-0000-000079050000}"/>
    <cellStyle name="Примечание 2 4 3 3 3" xfId="1397" xr:uid="{00000000-0005-0000-0000-00007A050000}"/>
    <cellStyle name="Примечание 2 4 3 3 3 2" xfId="1398" xr:uid="{00000000-0005-0000-0000-00007B050000}"/>
    <cellStyle name="Примечание 2 4 3 3 3 3" xfId="1399" xr:uid="{00000000-0005-0000-0000-00007C050000}"/>
    <cellStyle name="Примечание 2 4 3 3 4" xfId="1400" xr:uid="{00000000-0005-0000-0000-00007D050000}"/>
    <cellStyle name="Примечание 2 4 3 3 4 2" xfId="1401" xr:uid="{00000000-0005-0000-0000-00007E050000}"/>
    <cellStyle name="Примечание 2 4 3 3 4 3" xfId="1402" xr:uid="{00000000-0005-0000-0000-00007F050000}"/>
    <cellStyle name="Примечание 2 4 3 3 5" xfId="1403" xr:uid="{00000000-0005-0000-0000-000080050000}"/>
    <cellStyle name="Примечание 2 4 3 3 6" xfId="1404" xr:uid="{00000000-0005-0000-0000-000081050000}"/>
    <cellStyle name="Примечание 2 4 3 4" xfId="1405" xr:uid="{00000000-0005-0000-0000-000082050000}"/>
    <cellStyle name="Примечание 2 4 3 4 2" xfId="1406" xr:uid="{00000000-0005-0000-0000-000083050000}"/>
    <cellStyle name="Примечание 2 4 3 4 2 2" xfId="1407" xr:uid="{00000000-0005-0000-0000-000084050000}"/>
    <cellStyle name="Примечание 2 4 3 4 2 3" xfId="1408" xr:uid="{00000000-0005-0000-0000-000085050000}"/>
    <cellStyle name="Примечание 2 4 3 4 3" xfId="1409" xr:uid="{00000000-0005-0000-0000-000086050000}"/>
    <cellStyle name="Примечание 2 4 3 4 3 2" xfId="1410" xr:uid="{00000000-0005-0000-0000-000087050000}"/>
    <cellStyle name="Примечание 2 4 3 4 3 3" xfId="1411" xr:uid="{00000000-0005-0000-0000-000088050000}"/>
    <cellStyle name="Примечание 2 4 3 4 4" xfId="1412" xr:uid="{00000000-0005-0000-0000-000089050000}"/>
    <cellStyle name="Примечание 2 4 3 4 4 2" xfId="1413" xr:uid="{00000000-0005-0000-0000-00008A050000}"/>
    <cellStyle name="Примечание 2 4 3 4 4 3" xfId="1414" xr:uid="{00000000-0005-0000-0000-00008B050000}"/>
    <cellStyle name="Примечание 2 4 3 4 5" xfId="1415" xr:uid="{00000000-0005-0000-0000-00008C050000}"/>
    <cellStyle name="Примечание 2 4 3 4 6" xfId="1416" xr:uid="{00000000-0005-0000-0000-00008D050000}"/>
    <cellStyle name="Примечание 2 4 3 5" xfId="1417" xr:uid="{00000000-0005-0000-0000-00008E050000}"/>
    <cellStyle name="Примечание 2 4 3 5 2" xfId="1418" xr:uid="{00000000-0005-0000-0000-00008F050000}"/>
    <cellStyle name="Примечание 2 4 3 5 3" xfId="1419" xr:uid="{00000000-0005-0000-0000-000090050000}"/>
    <cellStyle name="Примечание 2 4 3 6" xfId="1420" xr:uid="{00000000-0005-0000-0000-000091050000}"/>
    <cellStyle name="Примечание 2 4 3 6 2" xfId="1421" xr:uid="{00000000-0005-0000-0000-000092050000}"/>
    <cellStyle name="Примечание 2 4 3 6 3" xfId="1422" xr:uid="{00000000-0005-0000-0000-000093050000}"/>
    <cellStyle name="Примечание 2 4 3 7" xfId="1423" xr:uid="{00000000-0005-0000-0000-000094050000}"/>
    <cellStyle name="Примечание 2 4 3 7 2" xfId="1424" xr:uid="{00000000-0005-0000-0000-000095050000}"/>
    <cellStyle name="Примечание 2 4 3 7 3" xfId="1425" xr:uid="{00000000-0005-0000-0000-000096050000}"/>
    <cellStyle name="Примечание 2 4 3 8" xfId="1426" xr:uid="{00000000-0005-0000-0000-000097050000}"/>
    <cellStyle name="Примечание 2 4 3 9" xfId="1427" xr:uid="{00000000-0005-0000-0000-000098050000}"/>
    <cellStyle name="Примечание 2 4 4" xfId="1428" xr:uid="{00000000-0005-0000-0000-000099050000}"/>
    <cellStyle name="Примечание 2 4 4 2" xfId="1429" xr:uid="{00000000-0005-0000-0000-00009A050000}"/>
    <cellStyle name="Примечание 2 4 4 2 2" xfId="1430" xr:uid="{00000000-0005-0000-0000-00009B050000}"/>
    <cellStyle name="Примечание 2 4 4 2 2 2" xfId="1431" xr:uid="{00000000-0005-0000-0000-00009C050000}"/>
    <cellStyle name="Примечание 2 4 4 2 2 3" xfId="1432" xr:uid="{00000000-0005-0000-0000-00009D050000}"/>
    <cellStyle name="Примечание 2 4 4 2 3" xfId="1433" xr:uid="{00000000-0005-0000-0000-00009E050000}"/>
    <cellStyle name="Примечание 2 4 4 2 3 2" xfId="1434" xr:uid="{00000000-0005-0000-0000-00009F050000}"/>
    <cellStyle name="Примечание 2 4 4 2 3 3" xfId="1435" xr:uid="{00000000-0005-0000-0000-0000A0050000}"/>
    <cellStyle name="Примечание 2 4 4 2 4" xfId="1436" xr:uid="{00000000-0005-0000-0000-0000A1050000}"/>
    <cellStyle name="Примечание 2 4 4 2 4 2" xfId="1437" xr:uid="{00000000-0005-0000-0000-0000A2050000}"/>
    <cellStyle name="Примечание 2 4 4 2 4 3" xfId="1438" xr:uid="{00000000-0005-0000-0000-0000A3050000}"/>
    <cellStyle name="Примечание 2 4 4 2 5" xfId="1439" xr:uid="{00000000-0005-0000-0000-0000A4050000}"/>
    <cellStyle name="Примечание 2 4 4 2 6" xfId="1440" xr:uid="{00000000-0005-0000-0000-0000A5050000}"/>
    <cellStyle name="Примечание 2 4 4 3" xfId="1441" xr:uid="{00000000-0005-0000-0000-0000A6050000}"/>
    <cellStyle name="Примечание 2 4 4 3 2" xfId="1442" xr:uid="{00000000-0005-0000-0000-0000A7050000}"/>
    <cellStyle name="Примечание 2 4 4 3 2 2" xfId="1443" xr:uid="{00000000-0005-0000-0000-0000A8050000}"/>
    <cellStyle name="Примечание 2 4 4 3 2 3" xfId="1444" xr:uid="{00000000-0005-0000-0000-0000A9050000}"/>
    <cellStyle name="Примечание 2 4 4 3 3" xfId="1445" xr:uid="{00000000-0005-0000-0000-0000AA050000}"/>
    <cellStyle name="Примечание 2 4 4 3 3 2" xfId="1446" xr:uid="{00000000-0005-0000-0000-0000AB050000}"/>
    <cellStyle name="Примечание 2 4 4 3 3 3" xfId="1447" xr:uid="{00000000-0005-0000-0000-0000AC050000}"/>
    <cellStyle name="Примечание 2 4 4 3 4" xfId="1448" xr:uid="{00000000-0005-0000-0000-0000AD050000}"/>
    <cellStyle name="Примечание 2 4 4 3 4 2" xfId="1449" xr:uid="{00000000-0005-0000-0000-0000AE050000}"/>
    <cellStyle name="Примечание 2 4 4 3 4 3" xfId="1450" xr:uid="{00000000-0005-0000-0000-0000AF050000}"/>
    <cellStyle name="Примечание 2 4 4 3 5" xfId="1451" xr:uid="{00000000-0005-0000-0000-0000B0050000}"/>
    <cellStyle name="Примечание 2 4 4 3 6" xfId="1452" xr:uid="{00000000-0005-0000-0000-0000B1050000}"/>
    <cellStyle name="Примечание 2 4 4 4" xfId="1453" xr:uid="{00000000-0005-0000-0000-0000B2050000}"/>
    <cellStyle name="Примечание 2 4 4 4 2" xfId="1454" xr:uid="{00000000-0005-0000-0000-0000B3050000}"/>
    <cellStyle name="Примечание 2 4 4 4 2 2" xfId="1455" xr:uid="{00000000-0005-0000-0000-0000B4050000}"/>
    <cellStyle name="Примечание 2 4 4 4 2 3" xfId="1456" xr:uid="{00000000-0005-0000-0000-0000B5050000}"/>
    <cellStyle name="Примечание 2 4 4 4 3" xfId="1457" xr:uid="{00000000-0005-0000-0000-0000B6050000}"/>
    <cellStyle name="Примечание 2 4 4 4 3 2" xfId="1458" xr:uid="{00000000-0005-0000-0000-0000B7050000}"/>
    <cellStyle name="Примечание 2 4 4 4 3 3" xfId="1459" xr:uid="{00000000-0005-0000-0000-0000B8050000}"/>
    <cellStyle name="Примечание 2 4 4 4 4" xfId="1460" xr:uid="{00000000-0005-0000-0000-0000B9050000}"/>
    <cellStyle name="Примечание 2 4 4 4 4 2" xfId="1461" xr:uid="{00000000-0005-0000-0000-0000BA050000}"/>
    <cellStyle name="Примечание 2 4 4 4 4 3" xfId="1462" xr:uid="{00000000-0005-0000-0000-0000BB050000}"/>
    <cellStyle name="Примечание 2 4 4 4 5" xfId="1463" xr:uid="{00000000-0005-0000-0000-0000BC050000}"/>
    <cellStyle name="Примечание 2 4 4 4 6" xfId="1464" xr:uid="{00000000-0005-0000-0000-0000BD050000}"/>
    <cellStyle name="Примечание 2 4 4 5" xfId="1465" xr:uid="{00000000-0005-0000-0000-0000BE050000}"/>
    <cellStyle name="Примечание 2 4 4 5 2" xfId="1466" xr:uid="{00000000-0005-0000-0000-0000BF050000}"/>
    <cellStyle name="Примечание 2 4 4 5 3" xfId="1467" xr:uid="{00000000-0005-0000-0000-0000C0050000}"/>
    <cellStyle name="Примечание 2 4 4 6" xfId="1468" xr:uid="{00000000-0005-0000-0000-0000C1050000}"/>
    <cellStyle name="Примечание 2 4 4 6 2" xfId="1469" xr:uid="{00000000-0005-0000-0000-0000C2050000}"/>
    <cellStyle name="Примечание 2 4 4 6 3" xfId="1470" xr:uid="{00000000-0005-0000-0000-0000C3050000}"/>
    <cellStyle name="Примечание 2 4 4 7" xfId="1471" xr:uid="{00000000-0005-0000-0000-0000C4050000}"/>
    <cellStyle name="Примечание 2 4 4 7 2" xfId="1472" xr:uid="{00000000-0005-0000-0000-0000C5050000}"/>
    <cellStyle name="Примечание 2 4 4 7 3" xfId="1473" xr:uid="{00000000-0005-0000-0000-0000C6050000}"/>
    <cellStyle name="Примечание 2 4 4 8" xfId="1474" xr:uid="{00000000-0005-0000-0000-0000C7050000}"/>
    <cellStyle name="Примечание 2 4 4 9" xfId="1475" xr:uid="{00000000-0005-0000-0000-0000C8050000}"/>
    <cellStyle name="Примечание 2 4 5" xfId="1476" xr:uid="{00000000-0005-0000-0000-0000C9050000}"/>
    <cellStyle name="Примечание 2 4 5 2" xfId="1477" xr:uid="{00000000-0005-0000-0000-0000CA050000}"/>
    <cellStyle name="Примечание 2 4 5 2 2" xfId="1478" xr:uid="{00000000-0005-0000-0000-0000CB050000}"/>
    <cellStyle name="Примечание 2 4 5 2 3" xfId="1479" xr:uid="{00000000-0005-0000-0000-0000CC050000}"/>
    <cellStyle name="Примечание 2 4 5 3" xfId="1480" xr:uid="{00000000-0005-0000-0000-0000CD050000}"/>
    <cellStyle name="Примечание 2 4 5 3 2" xfId="1481" xr:uid="{00000000-0005-0000-0000-0000CE050000}"/>
    <cellStyle name="Примечание 2 4 5 3 3" xfId="1482" xr:uid="{00000000-0005-0000-0000-0000CF050000}"/>
    <cellStyle name="Примечание 2 4 5 4" xfId="1483" xr:uid="{00000000-0005-0000-0000-0000D0050000}"/>
    <cellStyle name="Примечание 2 4 5 4 2" xfId="1484" xr:uid="{00000000-0005-0000-0000-0000D1050000}"/>
    <cellStyle name="Примечание 2 4 5 4 3" xfId="1485" xr:uid="{00000000-0005-0000-0000-0000D2050000}"/>
    <cellStyle name="Примечание 2 4 5 5" xfId="1486" xr:uid="{00000000-0005-0000-0000-0000D3050000}"/>
    <cellStyle name="Примечание 2 4 5 6" xfId="1487" xr:uid="{00000000-0005-0000-0000-0000D4050000}"/>
    <cellStyle name="Примечание 2 4 6" xfId="1488" xr:uid="{00000000-0005-0000-0000-0000D5050000}"/>
    <cellStyle name="Примечание 2 4 6 2" xfId="1489" xr:uid="{00000000-0005-0000-0000-0000D6050000}"/>
    <cellStyle name="Примечание 2 4 6 2 2" xfId="1490" xr:uid="{00000000-0005-0000-0000-0000D7050000}"/>
    <cellStyle name="Примечание 2 4 6 2 3" xfId="1491" xr:uid="{00000000-0005-0000-0000-0000D8050000}"/>
    <cellStyle name="Примечание 2 4 6 3" xfId="1492" xr:uid="{00000000-0005-0000-0000-0000D9050000}"/>
    <cellStyle name="Примечание 2 4 6 3 2" xfId="1493" xr:uid="{00000000-0005-0000-0000-0000DA050000}"/>
    <cellStyle name="Примечание 2 4 6 3 3" xfId="1494" xr:uid="{00000000-0005-0000-0000-0000DB050000}"/>
    <cellStyle name="Примечание 2 4 6 4" xfId="1495" xr:uid="{00000000-0005-0000-0000-0000DC050000}"/>
    <cellStyle name="Примечание 2 4 6 4 2" xfId="1496" xr:uid="{00000000-0005-0000-0000-0000DD050000}"/>
    <cellStyle name="Примечание 2 4 6 4 3" xfId="1497" xr:uid="{00000000-0005-0000-0000-0000DE050000}"/>
    <cellStyle name="Примечание 2 4 6 5" xfId="1498" xr:uid="{00000000-0005-0000-0000-0000DF050000}"/>
    <cellStyle name="Примечание 2 4 6 6" xfId="1499" xr:uid="{00000000-0005-0000-0000-0000E0050000}"/>
    <cellStyle name="Примечание 2 4 7" xfId="1500" xr:uid="{00000000-0005-0000-0000-0000E1050000}"/>
    <cellStyle name="Примечание 2 4 7 2" xfId="1501" xr:uid="{00000000-0005-0000-0000-0000E2050000}"/>
    <cellStyle name="Примечание 2 4 7 2 2" xfId="1502" xr:uid="{00000000-0005-0000-0000-0000E3050000}"/>
    <cellStyle name="Примечание 2 4 7 2 3" xfId="1503" xr:uid="{00000000-0005-0000-0000-0000E4050000}"/>
    <cellStyle name="Примечание 2 4 7 3" xfId="1504" xr:uid="{00000000-0005-0000-0000-0000E5050000}"/>
    <cellStyle name="Примечание 2 4 7 3 2" xfId="1505" xr:uid="{00000000-0005-0000-0000-0000E6050000}"/>
    <cellStyle name="Примечание 2 4 7 3 3" xfId="1506" xr:uid="{00000000-0005-0000-0000-0000E7050000}"/>
    <cellStyle name="Примечание 2 4 7 4" xfId="1507" xr:uid="{00000000-0005-0000-0000-0000E8050000}"/>
    <cellStyle name="Примечание 2 4 7 4 2" xfId="1508" xr:uid="{00000000-0005-0000-0000-0000E9050000}"/>
    <cellStyle name="Примечание 2 4 7 4 3" xfId="1509" xr:uid="{00000000-0005-0000-0000-0000EA050000}"/>
    <cellStyle name="Примечание 2 4 7 5" xfId="1510" xr:uid="{00000000-0005-0000-0000-0000EB050000}"/>
    <cellStyle name="Примечание 2 4 7 6" xfId="1511" xr:uid="{00000000-0005-0000-0000-0000EC050000}"/>
    <cellStyle name="Примечание 2 4 8" xfId="1512" xr:uid="{00000000-0005-0000-0000-0000ED050000}"/>
    <cellStyle name="Примечание 2 4 8 2" xfId="1513" xr:uid="{00000000-0005-0000-0000-0000EE050000}"/>
    <cellStyle name="Примечание 2 4 8 3" xfId="1514" xr:uid="{00000000-0005-0000-0000-0000EF050000}"/>
    <cellStyle name="Примечание 2 4 9" xfId="1515" xr:uid="{00000000-0005-0000-0000-0000F0050000}"/>
    <cellStyle name="Примечание 2 4 9 2" xfId="1516" xr:uid="{00000000-0005-0000-0000-0000F1050000}"/>
    <cellStyle name="Примечание 2 4 9 3" xfId="1517" xr:uid="{00000000-0005-0000-0000-0000F2050000}"/>
    <cellStyle name="Примечание 2 5" xfId="1518" xr:uid="{00000000-0005-0000-0000-0000F3050000}"/>
    <cellStyle name="Примечание 2 5 10" xfId="1519" xr:uid="{00000000-0005-0000-0000-0000F4050000}"/>
    <cellStyle name="Примечание 2 5 10 2" xfId="1520" xr:uid="{00000000-0005-0000-0000-0000F5050000}"/>
    <cellStyle name="Примечание 2 5 10 3" xfId="1521" xr:uid="{00000000-0005-0000-0000-0000F6050000}"/>
    <cellStyle name="Примечание 2 5 11" xfId="1522" xr:uid="{00000000-0005-0000-0000-0000F7050000}"/>
    <cellStyle name="Примечание 2 5 12" xfId="1523" xr:uid="{00000000-0005-0000-0000-0000F8050000}"/>
    <cellStyle name="Примечание 2 5 2" xfId="1524" xr:uid="{00000000-0005-0000-0000-0000F9050000}"/>
    <cellStyle name="Примечание 2 5 2 2" xfId="1525" xr:uid="{00000000-0005-0000-0000-0000FA050000}"/>
    <cellStyle name="Примечание 2 5 2 2 2" xfId="1526" xr:uid="{00000000-0005-0000-0000-0000FB050000}"/>
    <cellStyle name="Примечание 2 5 2 2 2 2" xfId="1527" xr:uid="{00000000-0005-0000-0000-0000FC050000}"/>
    <cellStyle name="Примечание 2 5 2 2 2 3" xfId="1528" xr:uid="{00000000-0005-0000-0000-0000FD050000}"/>
    <cellStyle name="Примечание 2 5 2 2 3" xfId="1529" xr:uid="{00000000-0005-0000-0000-0000FE050000}"/>
    <cellStyle name="Примечание 2 5 2 2 3 2" xfId="1530" xr:uid="{00000000-0005-0000-0000-0000FF050000}"/>
    <cellStyle name="Примечание 2 5 2 2 3 3" xfId="1531" xr:uid="{00000000-0005-0000-0000-000000060000}"/>
    <cellStyle name="Примечание 2 5 2 2 4" xfId="1532" xr:uid="{00000000-0005-0000-0000-000001060000}"/>
    <cellStyle name="Примечание 2 5 2 2 4 2" xfId="1533" xr:uid="{00000000-0005-0000-0000-000002060000}"/>
    <cellStyle name="Примечание 2 5 2 2 4 3" xfId="1534" xr:uid="{00000000-0005-0000-0000-000003060000}"/>
    <cellStyle name="Примечание 2 5 2 2 5" xfId="1535" xr:uid="{00000000-0005-0000-0000-000004060000}"/>
    <cellStyle name="Примечание 2 5 2 2 6" xfId="1536" xr:uid="{00000000-0005-0000-0000-000005060000}"/>
    <cellStyle name="Примечание 2 5 2 3" xfId="1537" xr:uid="{00000000-0005-0000-0000-000006060000}"/>
    <cellStyle name="Примечание 2 5 2 3 2" xfId="1538" xr:uid="{00000000-0005-0000-0000-000007060000}"/>
    <cellStyle name="Примечание 2 5 2 3 2 2" xfId="1539" xr:uid="{00000000-0005-0000-0000-000008060000}"/>
    <cellStyle name="Примечание 2 5 2 3 2 3" xfId="1540" xr:uid="{00000000-0005-0000-0000-000009060000}"/>
    <cellStyle name="Примечание 2 5 2 3 3" xfId="1541" xr:uid="{00000000-0005-0000-0000-00000A060000}"/>
    <cellStyle name="Примечание 2 5 2 3 3 2" xfId="1542" xr:uid="{00000000-0005-0000-0000-00000B060000}"/>
    <cellStyle name="Примечание 2 5 2 3 3 3" xfId="1543" xr:uid="{00000000-0005-0000-0000-00000C060000}"/>
    <cellStyle name="Примечание 2 5 2 3 4" xfId="1544" xr:uid="{00000000-0005-0000-0000-00000D060000}"/>
    <cellStyle name="Примечание 2 5 2 3 4 2" xfId="1545" xr:uid="{00000000-0005-0000-0000-00000E060000}"/>
    <cellStyle name="Примечание 2 5 2 3 4 3" xfId="1546" xr:uid="{00000000-0005-0000-0000-00000F060000}"/>
    <cellStyle name="Примечание 2 5 2 3 5" xfId="1547" xr:uid="{00000000-0005-0000-0000-000010060000}"/>
    <cellStyle name="Примечание 2 5 2 3 6" xfId="1548" xr:uid="{00000000-0005-0000-0000-000011060000}"/>
    <cellStyle name="Примечание 2 5 2 4" xfId="1549" xr:uid="{00000000-0005-0000-0000-000012060000}"/>
    <cellStyle name="Примечание 2 5 2 4 2" xfId="1550" xr:uid="{00000000-0005-0000-0000-000013060000}"/>
    <cellStyle name="Примечание 2 5 2 4 2 2" xfId="1551" xr:uid="{00000000-0005-0000-0000-000014060000}"/>
    <cellStyle name="Примечание 2 5 2 4 2 3" xfId="1552" xr:uid="{00000000-0005-0000-0000-000015060000}"/>
    <cellStyle name="Примечание 2 5 2 4 3" xfId="1553" xr:uid="{00000000-0005-0000-0000-000016060000}"/>
    <cellStyle name="Примечание 2 5 2 4 3 2" xfId="1554" xr:uid="{00000000-0005-0000-0000-000017060000}"/>
    <cellStyle name="Примечание 2 5 2 4 3 3" xfId="1555" xr:uid="{00000000-0005-0000-0000-000018060000}"/>
    <cellStyle name="Примечание 2 5 2 4 4" xfId="1556" xr:uid="{00000000-0005-0000-0000-000019060000}"/>
    <cellStyle name="Примечание 2 5 2 4 4 2" xfId="1557" xr:uid="{00000000-0005-0000-0000-00001A060000}"/>
    <cellStyle name="Примечание 2 5 2 4 4 3" xfId="1558" xr:uid="{00000000-0005-0000-0000-00001B060000}"/>
    <cellStyle name="Примечание 2 5 2 4 5" xfId="1559" xr:uid="{00000000-0005-0000-0000-00001C060000}"/>
    <cellStyle name="Примечание 2 5 2 4 6" xfId="1560" xr:uid="{00000000-0005-0000-0000-00001D060000}"/>
    <cellStyle name="Примечание 2 5 2 5" xfId="1561" xr:uid="{00000000-0005-0000-0000-00001E060000}"/>
    <cellStyle name="Примечание 2 5 2 5 2" xfId="1562" xr:uid="{00000000-0005-0000-0000-00001F060000}"/>
    <cellStyle name="Примечание 2 5 2 5 3" xfId="1563" xr:uid="{00000000-0005-0000-0000-000020060000}"/>
    <cellStyle name="Примечание 2 5 2 6" xfId="1564" xr:uid="{00000000-0005-0000-0000-000021060000}"/>
    <cellStyle name="Примечание 2 5 2 6 2" xfId="1565" xr:uid="{00000000-0005-0000-0000-000022060000}"/>
    <cellStyle name="Примечание 2 5 2 6 3" xfId="1566" xr:uid="{00000000-0005-0000-0000-000023060000}"/>
    <cellStyle name="Примечание 2 5 2 7" xfId="1567" xr:uid="{00000000-0005-0000-0000-000024060000}"/>
    <cellStyle name="Примечание 2 5 2 7 2" xfId="1568" xr:uid="{00000000-0005-0000-0000-000025060000}"/>
    <cellStyle name="Примечание 2 5 2 7 3" xfId="1569" xr:uid="{00000000-0005-0000-0000-000026060000}"/>
    <cellStyle name="Примечание 2 5 2 8" xfId="1570" xr:uid="{00000000-0005-0000-0000-000027060000}"/>
    <cellStyle name="Примечание 2 5 2 9" xfId="1571" xr:uid="{00000000-0005-0000-0000-000028060000}"/>
    <cellStyle name="Примечание 2 5 3" xfId="1572" xr:uid="{00000000-0005-0000-0000-000029060000}"/>
    <cellStyle name="Примечание 2 5 3 2" xfId="1573" xr:uid="{00000000-0005-0000-0000-00002A060000}"/>
    <cellStyle name="Примечание 2 5 3 2 2" xfId="1574" xr:uid="{00000000-0005-0000-0000-00002B060000}"/>
    <cellStyle name="Примечание 2 5 3 2 2 2" xfId="1575" xr:uid="{00000000-0005-0000-0000-00002C060000}"/>
    <cellStyle name="Примечание 2 5 3 2 2 3" xfId="1576" xr:uid="{00000000-0005-0000-0000-00002D060000}"/>
    <cellStyle name="Примечание 2 5 3 2 3" xfId="1577" xr:uid="{00000000-0005-0000-0000-00002E060000}"/>
    <cellStyle name="Примечание 2 5 3 2 3 2" xfId="1578" xr:uid="{00000000-0005-0000-0000-00002F060000}"/>
    <cellStyle name="Примечание 2 5 3 2 3 3" xfId="1579" xr:uid="{00000000-0005-0000-0000-000030060000}"/>
    <cellStyle name="Примечание 2 5 3 2 4" xfId="1580" xr:uid="{00000000-0005-0000-0000-000031060000}"/>
    <cellStyle name="Примечание 2 5 3 2 4 2" xfId="1581" xr:uid="{00000000-0005-0000-0000-000032060000}"/>
    <cellStyle name="Примечание 2 5 3 2 4 3" xfId="1582" xr:uid="{00000000-0005-0000-0000-000033060000}"/>
    <cellStyle name="Примечание 2 5 3 2 5" xfId="1583" xr:uid="{00000000-0005-0000-0000-000034060000}"/>
    <cellStyle name="Примечание 2 5 3 2 6" xfId="1584" xr:uid="{00000000-0005-0000-0000-000035060000}"/>
    <cellStyle name="Примечание 2 5 3 3" xfId="1585" xr:uid="{00000000-0005-0000-0000-000036060000}"/>
    <cellStyle name="Примечание 2 5 3 3 2" xfId="1586" xr:uid="{00000000-0005-0000-0000-000037060000}"/>
    <cellStyle name="Примечание 2 5 3 3 2 2" xfId="1587" xr:uid="{00000000-0005-0000-0000-000038060000}"/>
    <cellStyle name="Примечание 2 5 3 3 2 3" xfId="1588" xr:uid="{00000000-0005-0000-0000-000039060000}"/>
    <cellStyle name="Примечание 2 5 3 3 3" xfId="1589" xr:uid="{00000000-0005-0000-0000-00003A060000}"/>
    <cellStyle name="Примечание 2 5 3 3 3 2" xfId="1590" xr:uid="{00000000-0005-0000-0000-00003B060000}"/>
    <cellStyle name="Примечание 2 5 3 3 3 3" xfId="1591" xr:uid="{00000000-0005-0000-0000-00003C060000}"/>
    <cellStyle name="Примечание 2 5 3 3 4" xfId="1592" xr:uid="{00000000-0005-0000-0000-00003D060000}"/>
    <cellStyle name="Примечание 2 5 3 3 4 2" xfId="1593" xr:uid="{00000000-0005-0000-0000-00003E060000}"/>
    <cellStyle name="Примечание 2 5 3 3 4 3" xfId="1594" xr:uid="{00000000-0005-0000-0000-00003F060000}"/>
    <cellStyle name="Примечание 2 5 3 3 5" xfId="1595" xr:uid="{00000000-0005-0000-0000-000040060000}"/>
    <cellStyle name="Примечание 2 5 3 3 6" xfId="1596" xr:uid="{00000000-0005-0000-0000-000041060000}"/>
    <cellStyle name="Примечание 2 5 3 4" xfId="1597" xr:uid="{00000000-0005-0000-0000-000042060000}"/>
    <cellStyle name="Примечание 2 5 3 4 2" xfId="1598" xr:uid="{00000000-0005-0000-0000-000043060000}"/>
    <cellStyle name="Примечание 2 5 3 4 2 2" xfId="1599" xr:uid="{00000000-0005-0000-0000-000044060000}"/>
    <cellStyle name="Примечание 2 5 3 4 2 3" xfId="1600" xr:uid="{00000000-0005-0000-0000-000045060000}"/>
    <cellStyle name="Примечание 2 5 3 4 3" xfId="1601" xr:uid="{00000000-0005-0000-0000-000046060000}"/>
    <cellStyle name="Примечание 2 5 3 4 3 2" xfId="1602" xr:uid="{00000000-0005-0000-0000-000047060000}"/>
    <cellStyle name="Примечание 2 5 3 4 3 3" xfId="1603" xr:uid="{00000000-0005-0000-0000-000048060000}"/>
    <cellStyle name="Примечание 2 5 3 4 4" xfId="1604" xr:uid="{00000000-0005-0000-0000-000049060000}"/>
    <cellStyle name="Примечание 2 5 3 4 4 2" xfId="1605" xr:uid="{00000000-0005-0000-0000-00004A060000}"/>
    <cellStyle name="Примечание 2 5 3 4 4 3" xfId="1606" xr:uid="{00000000-0005-0000-0000-00004B060000}"/>
    <cellStyle name="Примечание 2 5 3 4 5" xfId="1607" xr:uid="{00000000-0005-0000-0000-00004C060000}"/>
    <cellStyle name="Примечание 2 5 3 4 6" xfId="1608" xr:uid="{00000000-0005-0000-0000-00004D060000}"/>
    <cellStyle name="Примечание 2 5 3 5" xfId="1609" xr:uid="{00000000-0005-0000-0000-00004E060000}"/>
    <cellStyle name="Примечание 2 5 3 5 2" xfId="1610" xr:uid="{00000000-0005-0000-0000-00004F060000}"/>
    <cellStyle name="Примечание 2 5 3 5 3" xfId="1611" xr:uid="{00000000-0005-0000-0000-000050060000}"/>
    <cellStyle name="Примечание 2 5 3 6" xfId="1612" xr:uid="{00000000-0005-0000-0000-000051060000}"/>
    <cellStyle name="Примечание 2 5 3 6 2" xfId="1613" xr:uid="{00000000-0005-0000-0000-000052060000}"/>
    <cellStyle name="Примечание 2 5 3 6 3" xfId="1614" xr:uid="{00000000-0005-0000-0000-000053060000}"/>
    <cellStyle name="Примечание 2 5 3 7" xfId="1615" xr:uid="{00000000-0005-0000-0000-000054060000}"/>
    <cellStyle name="Примечание 2 5 3 7 2" xfId="1616" xr:uid="{00000000-0005-0000-0000-000055060000}"/>
    <cellStyle name="Примечание 2 5 3 7 3" xfId="1617" xr:uid="{00000000-0005-0000-0000-000056060000}"/>
    <cellStyle name="Примечание 2 5 3 8" xfId="1618" xr:uid="{00000000-0005-0000-0000-000057060000}"/>
    <cellStyle name="Примечание 2 5 3 9" xfId="1619" xr:uid="{00000000-0005-0000-0000-000058060000}"/>
    <cellStyle name="Примечание 2 5 4" xfId="1620" xr:uid="{00000000-0005-0000-0000-000059060000}"/>
    <cellStyle name="Примечание 2 5 4 2" xfId="1621" xr:uid="{00000000-0005-0000-0000-00005A060000}"/>
    <cellStyle name="Примечание 2 5 4 2 2" xfId="1622" xr:uid="{00000000-0005-0000-0000-00005B060000}"/>
    <cellStyle name="Примечание 2 5 4 2 2 2" xfId="1623" xr:uid="{00000000-0005-0000-0000-00005C060000}"/>
    <cellStyle name="Примечание 2 5 4 2 2 3" xfId="1624" xr:uid="{00000000-0005-0000-0000-00005D060000}"/>
    <cellStyle name="Примечание 2 5 4 2 3" xfId="1625" xr:uid="{00000000-0005-0000-0000-00005E060000}"/>
    <cellStyle name="Примечание 2 5 4 2 3 2" xfId="1626" xr:uid="{00000000-0005-0000-0000-00005F060000}"/>
    <cellStyle name="Примечание 2 5 4 2 3 3" xfId="1627" xr:uid="{00000000-0005-0000-0000-000060060000}"/>
    <cellStyle name="Примечание 2 5 4 2 4" xfId="1628" xr:uid="{00000000-0005-0000-0000-000061060000}"/>
    <cellStyle name="Примечание 2 5 4 2 4 2" xfId="1629" xr:uid="{00000000-0005-0000-0000-000062060000}"/>
    <cellStyle name="Примечание 2 5 4 2 4 3" xfId="1630" xr:uid="{00000000-0005-0000-0000-000063060000}"/>
    <cellStyle name="Примечание 2 5 4 2 5" xfId="1631" xr:uid="{00000000-0005-0000-0000-000064060000}"/>
    <cellStyle name="Примечание 2 5 4 2 6" xfId="1632" xr:uid="{00000000-0005-0000-0000-000065060000}"/>
    <cellStyle name="Примечание 2 5 4 3" xfId="1633" xr:uid="{00000000-0005-0000-0000-000066060000}"/>
    <cellStyle name="Примечание 2 5 4 3 2" xfId="1634" xr:uid="{00000000-0005-0000-0000-000067060000}"/>
    <cellStyle name="Примечание 2 5 4 3 2 2" xfId="1635" xr:uid="{00000000-0005-0000-0000-000068060000}"/>
    <cellStyle name="Примечание 2 5 4 3 2 3" xfId="1636" xr:uid="{00000000-0005-0000-0000-000069060000}"/>
    <cellStyle name="Примечание 2 5 4 3 3" xfId="1637" xr:uid="{00000000-0005-0000-0000-00006A060000}"/>
    <cellStyle name="Примечание 2 5 4 3 3 2" xfId="1638" xr:uid="{00000000-0005-0000-0000-00006B060000}"/>
    <cellStyle name="Примечание 2 5 4 3 3 3" xfId="1639" xr:uid="{00000000-0005-0000-0000-00006C060000}"/>
    <cellStyle name="Примечание 2 5 4 3 4" xfId="1640" xr:uid="{00000000-0005-0000-0000-00006D060000}"/>
    <cellStyle name="Примечание 2 5 4 3 4 2" xfId="1641" xr:uid="{00000000-0005-0000-0000-00006E060000}"/>
    <cellStyle name="Примечание 2 5 4 3 4 3" xfId="1642" xr:uid="{00000000-0005-0000-0000-00006F060000}"/>
    <cellStyle name="Примечание 2 5 4 3 5" xfId="1643" xr:uid="{00000000-0005-0000-0000-000070060000}"/>
    <cellStyle name="Примечание 2 5 4 3 6" xfId="1644" xr:uid="{00000000-0005-0000-0000-000071060000}"/>
    <cellStyle name="Примечание 2 5 4 4" xfId="1645" xr:uid="{00000000-0005-0000-0000-000072060000}"/>
    <cellStyle name="Примечание 2 5 4 4 2" xfId="1646" xr:uid="{00000000-0005-0000-0000-000073060000}"/>
    <cellStyle name="Примечание 2 5 4 4 2 2" xfId="1647" xr:uid="{00000000-0005-0000-0000-000074060000}"/>
    <cellStyle name="Примечание 2 5 4 4 2 3" xfId="1648" xr:uid="{00000000-0005-0000-0000-000075060000}"/>
    <cellStyle name="Примечание 2 5 4 4 3" xfId="1649" xr:uid="{00000000-0005-0000-0000-000076060000}"/>
    <cellStyle name="Примечание 2 5 4 4 3 2" xfId="1650" xr:uid="{00000000-0005-0000-0000-000077060000}"/>
    <cellStyle name="Примечание 2 5 4 4 3 3" xfId="1651" xr:uid="{00000000-0005-0000-0000-000078060000}"/>
    <cellStyle name="Примечание 2 5 4 4 4" xfId="1652" xr:uid="{00000000-0005-0000-0000-000079060000}"/>
    <cellStyle name="Примечание 2 5 4 4 4 2" xfId="1653" xr:uid="{00000000-0005-0000-0000-00007A060000}"/>
    <cellStyle name="Примечание 2 5 4 4 4 3" xfId="1654" xr:uid="{00000000-0005-0000-0000-00007B060000}"/>
    <cellStyle name="Примечание 2 5 4 4 5" xfId="1655" xr:uid="{00000000-0005-0000-0000-00007C060000}"/>
    <cellStyle name="Примечание 2 5 4 4 6" xfId="1656" xr:uid="{00000000-0005-0000-0000-00007D060000}"/>
    <cellStyle name="Примечание 2 5 4 5" xfId="1657" xr:uid="{00000000-0005-0000-0000-00007E060000}"/>
    <cellStyle name="Примечание 2 5 4 5 2" xfId="1658" xr:uid="{00000000-0005-0000-0000-00007F060000}"/>
    <cellStyle name="Примечание 2 5 4 5 3" xfId="1659" xr:uid="{00000000-0005-0000-0000-000080060000}"/>
    <cellStyle name="Примечание 2 5 4 6" xfId="1660" xr:uid="{00000000-0005-0000-0000-000081060000}"/>
    <cellStyle name="Примечание 2 5 4 6 2" xfId="1661" xr:uid="{00000000-0005-0000-0000-000082060000}"/>
    <cellStyle name="Примечание 2 5 4 6 3" xfId="1662" xr:uid="{00000000-0005-0000-0000-000083060000}"/>
    <cellStyle name="Примечание 2 5 4 7" xfId="1663" xr:uid="{00000000-0005-0000-0000-000084060000}"/>
    <cellStyle name="Примечание 2 5 4 7 2" xfId="1664" xr:uid="{00000000-0005-0000-0000-000085060000}"/>
    <cellStyle name="Примечание 2 5 4 7 3" xfId="1665" xr:uid="{00000000-0005-0000-0000-000086060000}"/>
    <cellStyle name="Примечание 2 5 4 8" xfId="1666" xr:uid="{00000000-0005-0000-0000-000087060000}"/>
    <cellStyle name="Примечание 2 5 4 9" xfId="1667" xr:uid="{00000000-0005-0000-0000-000088060000}"/>
    <cellStyle name="Примечание 2 5 5" xfId="1668" xr:uid="{00000000-0005-0000-0000-000089060000}"/>
    <cellStyle name="Примечание 2 5 5 2" xfId="1669" xr:uid="{00000000-0005-0000-0000-00008A060000}"/>
    <cellStyle name="Примечание 2 5 5 2 2" xfId="1670" xr:uid="{00000000-0005-0000-0000-00008B060000}"/>
    <cellStyle name="Примечание 2 5 5 2 3" xfId="1671" xr:uid="{00000000-0005-0000-0000-00008C060000}"/>
    <cellStyle name="Примечание 2 5 5 3" xfId="1672" xr:uid="{00000000-0005-0000-0000-00008D060000}"/>
    <cellStyle name="Примечание 2 5 5 3 2" xfId="1673" xr:uid="{00000000-0005-0000-0000-00008E060000}"/>
    <cellStyle name="Примечание 2 5 5 3 3" xfId="1674" xr:uid="{00000000-0005-0000-0000-00008F060000}"/>
    <cellStyle name="Примечание 2 5 5 4" xfId="1675" xr:uid="{00000000-0005-0000-0000-000090060000}"/>
    <cellStyle name="Примечание 2 5 5 4 2" xfId="1676" xr:uid="{00000000-0005-0000-0000-000091060000}"/>
    <cellStyle name="Примечание 2 5 5 4 3" xfId="1677" xr:uid="{00000000-0005-0000-0000-000092060000}"/>
    <cellStyle name="Примечание 2 5 5 5" xfId="1678" xr:uid="{00000000-0005-0000-0000-000093060000}"/>
    <cellStyle name="Примечание 2 5 5 6" xfId="1679" xr:uid="{00000000-0005-0000-0000-000094060000}"/>
    <cellStyle name="Примечание 2 5 6" xfId="1680" xr:uid="{00000000-0005-0000-0000-000095060000}"/>
    <cellStyle name="Примечание 2 5 6 2" xfId="1681" xr:uid="{00000000-0005-0000-0000-000096060000}"/>
    <cellStyle name="Примечание 2 5 6 2 2" xfId="1682" xr:uid="{00000000-0005-0000-0000-000097060000}"/>
    <cellStyle name="Примечание 2 5 6 2 3" xfId="1683" xr:uid="{00000000-0005-0000-0000-000098060000}"/>
    <cellStyle name="Примечание 2 5 6 3" xfId="1684" xr:uid="{00000000-0005-0000-0000-000099060000}"/>
    <cellStyle name="Примечание 2 5 6 3 2" xfId="1685" xr:uid="{00000000-0005-0000-0000-00009A060000}"/>
    <cellStyle name="Примечание 2 5 6 3 3" xfId="1686" xr:uid="{00000000-0005-0000-0000-00009B060000}"/>
    <cellStyle name="Примечание 2 5 6 4" xfId="1687" xr:uid="{00000000-0005-0000-0000-00009C060000}"/>
    <cellStyle name="Примечание 2 5 6 4 2" xfId="1688" xr:uid="{00000000-0005-0000-0000-00009D060000}"/>
    <cellStyle name="Примечание 2 5 6 4 3" xfId="1689" xr:uid="{00000000-0005-0000-0000-00009E060000}"/>
    <cellStyle name="Примечание 2 5 6 5" xfId="1690" xr:uid="{00000000-0005-0000-0000-00009F060000}"/>
    <cellStyle name="Примечание 2 5 6 6" xfId="1691" xr:uid="{00000000-0005-0000-0000-0000A0060000}"/>
    <cellStyle name="Примечание 2 5 7" xfId="1692" xr:uid="{00000000-0005-0000-0000-0000A1060000}"/>
    <cellStyle name="Примечание 2 5 7 2" xfId="1693" xr:uid="{00000000-0005-0000-0000-0000A2060000}"/>
    <cellStyle name="Примечание 2 5 7 2 2" xfId="1694" xr:uid="{00000000-0005-0000-0000-0000A3060000}"/>
    <cellStyle name="Примечание 2 5 7 2 3" xfId="1695" xr:uid="{00000000-0005-0000-0000-0000A4060000}"/>
    <cellStyle name="Примечание 2 5 7 3" xfId="1696" xr:uid="{00000000-0005-0000-0000-0000A5060000}"/>
    <cellStyle name="Примечание 2 5 7 3 2" xfId="1697" xr:uid="{00000000-0005-0000-0000-0000A6060000}"/>
    <cellStyle name="Примечание 2 5 7 3 3" xfId="1698" xr:uid="{00000000-0005-0000-0000-0000A7060000}"/>
    <cellStyle name="Примечание 2 5 7 4" xfId="1699" xr:uid="{00000000-0005-0000-0000-0000A8060000}"/>
    <cellStyle name="Примечание 2 5 7 4 2" xfId="1700" xr:uid="{00000000-0005-0000-0000-0000A9060000}"/>
    <cellStyle name="Примечание 2 5 7 4 3" xfId="1701" xr:uid="{00000000-0005-0000-0000-0000AA060000}"/>
    <cellStyle name="Примечание 2 5 7 5" xfId="1702" xr:uid="{00000000-0005-0000-0000-0000AB060000}"/>
    <cellStyle name="Примечание 2 5 7 6" xfId="1703" xr:uid="{00000000-0005-0000-0000-0000AC060000}"/>
    <cellStyle name="Примечание 2 5 8" xfId="1704" xr:uid="{00000000-0005-0000-0000-0000AD060000}"/>
    <cellStyle name="Примечание 2 5 8 2" xfId="1705" xr:uid="{00000000-0005-0000-0000-0000AE060000}"/>
    <cellStyle name="Примечание 2 5 8 3" xfId="1706" xr:uid="{00000000-0005-0000-0000-0000AF060000}"/>
    <cellStyle name="Примечание 2 5 9" xfId="1707" xr:uid="{00000000-0005-0000-0000-0000B0060000}"/>
    <cellStyle name="Примечание 2 5 9 2" xfId="1708" xr:uid="{00000000-0005-0000-0000-0000B1060000}"/>
    <cellStyle name="Примечание 2 5 9 3" xfId="1709" xr:uid="{00000000-0005-0000-0000-0000B2060000}"/>
    <cellStyle name="Примечание 2 6" xfId="1710" xr:uid="{00000000-0005-0000-0000-0000B3060000}"/>
    <cellStyle name="Примечание 2 6 10" xfId="1711" xr:uid="{00000000-0005-0000-0000-0000B4060000}"/>
    <cellStyle name="Примечание 2 6 10 2" xfId="1712" xr:uid="{00000000-0005-0000-0000-0000B5060000}"/>
    <cellStyle name="Примечание 2 6 10 3" xfId="1713" xr:uid="{00000000-0005-0000-0000-0000B6060000}"/>
    <cellStyle name="Примечание 2 6 11" xfId="1714" xr:uid="{00000000-0005-0000-0000-0000B7060000}"/>
    <cellStyle name="Примечание 2 6 12" xfId="1715" xr:uid="{00000000-0005-0000-0000-0000B8060000}"/>
    <cellStyle name="Примечание 2 6 2" xfId="1716" xr:uid="{00000000-0005-0000-0000-0000B9060000}"/>
    <cellStyle name="Примечание 2 6 2 2" xfId="1717" xr:uid="{00000000-0005-0000-0000-0000BA060000}"/>
    <cellStyle name="Примечание 2 6 2 2 2" xfId="1718" xr:uid="{00000000-0005-0000-0000-0000BB060000}"/>
    <cellStyle name="Примечание 2 6 2 2 2 2" xfId="1719" xr:uid="{00000000-0005-0000-0000-0000BC060000}"/>
    <cellStyle name="Примечание 2 6 2 2 2 3" xfId="1720" xr:uid="{00000000-0005-0000-0000-0000BD060000}"/>
    <cellStyle name="Примечание 2 6 2 2 3" xfId="1721" xr:uid="{00000000-0005-0000-0000-0000BE060000}"/>
    <cellStyle name="Примечание 2 6 2 2 3 2" xfId="1722" xr:uid="{00000000-0005-0000-0000-0000BF060000}"/>
    <cellStyle name="Примечание 2 6 2 2 3 3" xfId="1723" xr:uid="{00000000-0005-0000-0000-0000C0060000}"/>
    <cellStyle name="Примечание 2 6 2 2 4" xfId="1724" xr:uid="{00000000-0005-0000-0000-0000C1060000}"/>
    <cellStyle name="Примечание 2 6 2 2 4 2" xfId="1725" xr:uid="{00000000-0005-0000-0000-0000C2060000}"/>
    <cellStyle name="Примечание 2 6 2 2 4 3" xfId="1726" xr:uid="{00000000-0005-0000-0000-0000C3060000}"/>
    <cellStyle name="Примечание 2 6 2 2 5" xfId="1727" xr:uid="{00000000-0005-0000-0000-0000C4060000}"/>
    <cellStyle name="Примечание 2 6 2 2 6" xfId="1728" xr:uid="{00000000-0005-0000-0000-0000C5060000}"/>
    <cellStyle name="Примечание 2 6 2 3" xfId="1729" xr:uid="{00000000-0005-0000-0000-0000C6060000}"/>
    <cellStyle name="Примечание 2 6 2 3 2" xfId="1730" xr:uid="{00000000-0005-0000-0000-0000C7060000}"/>
    <cellStyle name="Примечание 2 6 2 3 2 2" xfId="1731" xr:uid="{00000000-0005-0000-0000-0000C8060000}"/>
    <cellStyle name="Примечание 2 6 2 3 2 3" xfId="1732" xr:uid="{00000000-0005-0000-0000-0000C9060000}"/>
    <cellStyle name="Примечание 2 6 2 3 3" xfId="1733" xr:uid="{00000000-0005-0000-0000-0000CA060000}"/>
    <cellStyle name="Примечание 2 6 2 3 3 2" xfId="1734" xr:uid="{00000000-0005-0000-0000-0000CB060000}"/>
    <cellStyle name="Примечание 2 6 2 3 3 3" xfId="1735" xr:uid="{00000000-0005-0000-0000-0000CC060000}"/>
    <cellStyle name="Примечание 2 6 2 3 4" xfId="1736" xr:uid="{00000000-0005-0000-0000-0000CD060000}"/>
    <cellStyle name="Примечание 2 6 2 3 4 2" xfId="1737" xr:uid="{00000000-0005-0000-0000-0000CE060000}"/>
    <cellStyle name="Примечание 2 6 2 3 4 3" xfId="1738" xr:uid="{00000000-0005-0000-0000-0000CF060000}"/>
    <cellStyle name="Примечание 2 6 2 3 5" xfId="1739" xr:uid="{00000000-0005-0000-0000-0000D0060000}"/>
    <cellStyle name="Примечание 2 6 2 3 6" xfId="1740" xr:uid="{00000000-0005-0000-0000-0000D1060000}"/>
    <cellStyle name="Примечание 2 6 2 4" xfId="1741" xr:uid="{00000000-0005-0000-0000-0000D2060000}"/>
    <cellStyle name="Примечание 2 6 2 4 2" xfId="1742" xr:uid="{00000000-0005-0000-0000-0000D3060000}"/>
    <cellStyle name="Примечание 2 6 2 4 2 2" xfId="1743" xr:uid="{00000000-0005-0000-0000-0000D4060000}"/>
    <cellStyle name="Примечание 2 6 2 4 2 3" xfId="1744" xr:uid="{00000000-0005-0000-0000-0000D5060000}"/>
    <cellStyle name="Примечание 2 6 2 4 3" xfId="1745" xr:uid="{00000000-0005-0000-0000-0000D6060000}"/>
    <cellStyle name="Примечание 2 6 2 4 3 2" xfId="1746" xr:uid="{00000000-0005-0000-0000-0000D7060000}"/>
    <cellStyle name="Примечание 2 6 2 4 3 3" xfId="1747" xr:uid="{00000000-0005-0000-0000-0000D8060000}"/>
    <cellStyle name="Примечание 2 6 2 4 4" xfId="1748" xr:uid="{00000000-0005-0000-0000-0000D9060000}"/>
    <cellStyle name="Примечание 2 6 2 4 4 2" xfId="1749" xr:uid="{00000000-0005-0000-0000-0000DA060000}"/>
    <cellStyle name="Примечание 2 6 2 4 4 3" xfId="1750" xr:uid="{00000000-0005-0000-0000-0000DB060000}"/>
    <cellStyle name="Примечание 2 6 2 4 5" xfId="1751" xr:uid="{00000000-0005-0000-0000-0000DC060000}"/>
    <cellStyle name="Примечание 2 6 2 4 6" xfId="1752" xr:uid="{00000000-0005-0000-0000-0000DD060000}"/>
    <cellStyle name="Примечание 2 6 2 5" xfId="1753" xr:uid="{00000000-0005-0000-0000-0000DE060000}"/>
    <cellStyle name="Примечание 2 6 2 5 2" xfId="1754" xr:uid="{00000000-0005-0000-0000-0000DF060000}"/>
    <cellStyle name="Примечание 2 6 2 5 3" xfId="1755" xr:uid="{00000000-0005-0000-0000-0000E0060000}"/>
    <cellStyle name="Примечание 2 6 2 6" xfId="1756" xr:uid="{00000000-0005-0000-0000-0000E1060000}"/>
    <cellStyle name="Примечание 2 6 2 6 2" xfId="1757" xr:uid="{00000000-0005-0000-0000-0000E2060000}"/>
    <cellStyle name="Примечание 2 6 2 6 3" xfId="1758" xr:uid="{00000000-0005-0000-0000-0000E3060000}"/>
    <cellStyle name="Примечание 2 6 2 7" xfId="1759" xr:uid="{00000000-0005-0000-0000-0000E4060000}"/>
    <cellStyle name="Примечание 2 6 2 7 2" xfId="1760" xr:uid="{00000000-0005-0000-0000-0000E5060000}"/>
    <cellStyle name="Примечание 2 6 2 7 3" xfId="1761" xr:uid="{00000000-0005-0000-0000-0000E6060000}"/>
    <cellStyle name="Примечание 2 6 2 8" xfId="1762" xr:uid="{00000000-0005-0000-0000-0000E7060000}"/>
    <cellStyle name="Примечание 2 6 2 9" xfId="1763" xr:uid="{00000000-0005-0000-0000-0000E8060000}"/>
    <cellStyle name="Примечание 2 6 3" xfId="1764" xr:uid="{00000000-0005-0000-0000-0000E9060000}"/>
    <cellStyle name="Примечание 2 6 3 2" xfId="1765" xr:uid="{00000000-0005-0000-0000-0000EA060000}"/>
    <cellStyle name="Примечание 2 6 3 2 2" xfId="1766" xr:uid="{00000000-0005-0000-0000-0000EB060000}"/>
    <cellStyle name="Примечание 2 6 3 2 2 2" xfId="1767" xr:uid="{00000000-0005-0000-0000-0000EC060000}"/>
    <cellStyle name="Примечание 2 6 3 2 2 3" xfId="1768" xr:uid="{00000000-0005-0000-0000-0000ED060000}"/>
    <cellStyle name="Примечание 2 6 3 2 3" xfId="1769" xr:uid="{00000000-0005-0000-0000-0000EE060000}"/>
    <cellStyle name="Примечание 2 6 3 2 3 2" xfId="1770" xr:uid="{00000000-0005-0000-0000-0000EF060000}"/>
    <cellStyle name="Примечание 2 6 3 2 3 3" xfId="1771" xr:uid="{00000000-0005-0000-0000-0000F0060000}"/>
    <cellStyle name="Примечание 2 6 3 2 4" xfId="1772" xr:uid="{00000000-0005-0000-0000-0000F1060000}"/>
    <cellStyle name="Примечание 2 6 3 2 4 2" xfId="1773" xr:uid="{00000000-0005-0000-0000-0000F2060000}"/>
    <cellStyle name="Примечание 2 6 3 2 4 3" xfId="1774" xr:uid="{00000000-0005-0000-0000-0000F3060000}"/>
    <cellStyle name="Примечание 2 6 3 2 5" xfId="1775" xr:uid="{00000000-0005-0000-0000-0000F4060000}"/>
    <cellStyle name="Примечание 2 6 3 2 6" xfId="1776" xr:uid="{00000000-0005-0000-0000-0000F5060000}"/>
    <cellStyle name="Примечание 2 6 3 3" xfId="1777" xr:uid="{00000000-0005-0000-0000-0000F6060000}"/>
    <cellStyle name="Примечание 2 6 3 3 2" xfId="1778" xr:uid="{00000000-0005-0000-0000-0000F7060000}"/>
    <cellStyle name="Примечание 2 6 3 3 2 2" xfId="1779" xr:uid="{00000000-0005-0000-0000-0000F8060000}"/>
    <cellStyle name="Примечание 2 6 3 3 2 3" xfId="1780" xr:uid="{00000000-0005-0000-0000-0000F9060000}"/>
    <cellStyle name="Примечание 2 6 3 3 3" xfId="1781" xr:uid="{00000000-0005-0000-0000-0000FA060000}"/>
    <cellStyle name="Примечание 2 6 3 3 3 2" xfId="1782" xr:uid="{00000000-0005-0000-0000-0000FB060000}"/>
    <cellStyle name="Примечание 2 6 3 3 3 3" xfId="1783" xr:uid="{00000000-0005-0000-0000-0000FC060000}"/>
    <cellStyle name="Примечание 2 6 3 3 4" xfId="1784" xr:uid="{00000000-0005-0000-0000-0000FD060000}"/>
    <cellStyle name="Примечание 2 6 3 3 4 2" xfId="1785" xr:uid="{00000000-0005-0000-0000-0000FE060000}"/>
    <cellStyle name="Примечание 2 6 3 3 4 3" xfId="1786" xr:uid="{00000000-0005-0000-0000-0000FF060000}"/>
    <cellStyle name="Примечание 2 6 3 3 5" xfId="1787" xr:uid="{00000000-0005-0000-0000-000000070000}"/>
    <cellStyle name="Примечание 2 6 3 3 6" xfId="1788" xr:uid="{00000000-0005-0000-0000-000001070000}"/>
    <cellStyle name="Примечание 2 6 3 4" xfId="1789" xr:uid="{00000000-0005-0000-0000-000002070000}"/>
    <cellStyle name="Примечание 2 6 3 4 2" xfId="1790" xr:uid="{00000000-0005-0000-0000-000003070000}"/>
    <cellStyle name="Примечание 2 6 3 4 2 2" xfId="1791" xr:uid="{00000000-0005-0000-0000-000004070000}"/>
    <cellStyle name="Примечание 2 6 3 4 2 3" xfId="1792" xr:uid="{00000000-0005-0000-0000-000005070000}"/>
    <cellStyle name="Примечание 2 6 3 4 3" xfId="1793" xr:uid="{00000000-0005-0000-0000-000006070000}"/>
    <cellStyle name="Примечание 2 6 3 4 3 2" xfId="1794" xr:uid="{00000000-0005-0000-0000-000007070000}"/>
    <cellStyle name="Примечание 2 6 3 4 3 3" xfId="1795" xr:uid="{00000000-0005-0000-0000-000008070000}"/>
    <cellStyle name="Примечание 2 6 3 4 4" xfId="1796" xr:uid="{00000000-0005-0000-0000-000009070000}"/>
    <cellStyle name="Примечание 2 6 3 4 4 2" xfId="1797" xr:uid="{00000000-0005-0000-0000-00000A070000}"/>
    <cellStyle name="Примечание 2 6 3 4 4 3" xfId="1798" xr:uid="{00000000-0005-0000-0000-00000B070000}"/>
    <cellStyle name="Примечание 2 6 3 4 5" xfId="1799" xr:uid="{00000000-0005-0000-0000-00000C070000}"/>
    <cellStyle name="Примечание 2 6 3 4 6" xfId="1800" xr:uid="{00000000-0005-0000-0000-00000D070000}"/>
    <cellStyle name="Примечание 2 6 3 5" xfId="1801" xr:uid="{00000000-0005-0000-0000-00000E070000}"/>
    <cellStyle name="Примечание 2 6 3 5 2" xfId="1802" xr:uid="{00000000-0005-0000-0000-00000F070000}"/>
    <cellStyle name="Примечание 2 6 3 5 3" xfId="1803" xr:uid="{00000000-0005-0000-0000-000010070000}"/>
    <cellStyle name="Примечание 2 6 3 6" xfId="1804" xr:uid="{00000000-0005-0000-0000-000011070000}"/>
    <cellStyle name="Примечание 2 6 3 6 2" xfId="1805" xr:uid="{00000000-0005-0000-0000-000012070000}"/>
    <cellStyle name="Примечание 2 6 3 6 3" xfId="1806" xr:uid="{00000000-0005-0000-0000-000013070000}"/>
    <cellStyle name="Примечание 2 6 3 7" xfId="1807" xr:uid="{00000000-0005-0000-0000-000014070000}"/>
    <cellStyle name="Примечание 2 6 3 7 2" xfId="1808" xr:uid="{00000000-0005-0000-0000-000015070000}"/>
    <cellStyle name="Примечание 2 6 3 7 3" xfId="1809" xr:uid="{00000000-0005-0000-0000-000016070000}"/>
    <cellStyle name="Примечание 2 6 3 8" xfId="1810" xr:uid="{00000000-0005-0000-0000-000017070000}"/>
    <cellStyle name="Примечание 2 6 3 9" xfId="1811" xr:uid="{00000000-0005-0000-0000-000018070000}"/>
    <cellStyle name="Примечание 2 6 4" xfId="1812" xr:uid="{00000000-0005-0000-0000-000019070000}"/>
    <cellStyle name="Примечание 2 6 4 2" xfId="1813" xr:uid="{00000000-0005-0000-0000-00001A070000}"/>
    <cellStyle name="Примечание 2 6 4 2 2" xfId="1814" xr:uid="{00000000-0005-0000-0000-00001B070000}"/>
    <cellStyle name="Примечание 2 6 4 2 2 2" xfId="1815" xr:uid="{00000000-0005-0000-0000-00001C070000}"/>
    <cellStyle name="Примечание 2 6 4 2 2 3" xfId="1816" xr:uid="{00000000-0005-0000-0000-00001D070000}"/>
    <cellStyle name="Примечание 2 6 4 2 3" xfId="1817" xr:uid="{00000000-0005-0000-0000-00001E070000}"/>
    <cellStyle name="Примечание 2 6 4 2 3 2" xfId="1818" xr:uid="{00000000-0005-0000-0000-00001F070000}"/>
    <cellStyle name="Примечание 2 6 4 2 3 3" xfId="1819" xr:uid="{00000000-0005-0000-0000-000020070000}"/>
    <cellStyle name="Примечание 2 6 4 2 4" xfId="1820" xr:uid="{00000000-0005-0000-0000-000021070000}"/>
    <cellStyle name="Примечание 2 6 4 2 4 2" xfId="1821" xr:uid="{00000000-0005-0000-0000-000022070000}"/>
    <cellStyle name="Примечание 2 6 4 2 4 3" xfId="1822" xr:uid="{00000000-0005-0000-0000-000023070000}"/>
    <cellStyle name="Примечание 2 6 4 2 5" xfId="1823" xr:uid="{00000000-0005-0000-0000-000024070000}"/>
    <cellStyle name="Примечание 2 6 4 2 6" xfId="1824" xr:uid="{00000000-0005-0000-0000-000025070000}"/>
    <cellStyle name="Примечание 2 6 4 3" xfId="1825" xr:uid="{00000000-0005-0000-0000-000026070000}"/>
    <cellStyle name="Примечание 2 6 4 3 2" xfId="1826" xr:uid="{00000000-0005-0000-0000-000027070000}"/>
    <cellStyle name="Примечание 2 6 4 3 2 2" xfId="1827" xr:uid="{00000000-0005-0000-0000-000028070000}"/>
    <cellStyle name="Примечание 2 6 4 3 2 3" xfId="1828" xr:uid="{00000000-0005-0000-0000-000029070000}"/>
    <cellStyle name="Примечание 2 6 4 3 3" xfId="1829" xr:uid="{00000000-0005-0000-0000-00002A070000}"/>
    <cellStyle name="Примечание 2 6 4 3 3 2" xfId="1830" xr:uid="{00000000-0005-0000-0000-00002B070000}"/>
    <cellStyle name="Примечание 2 6 4 3 3 3" xfId="1831" xr:uid="{00000000-0005-0000-0000-00002C070000}"/>
    <cellStyle name="Примечание 2 6 4 3 4" xfId="1832" xr:uid="{00000000-0005-0000-0000-00002D070000}"/>
    <cellStyle name="Примечание 2 6 4 3 4 2" xfId="1833" xr:uid="{00000000-0005-0000-0000-00002E070000}"/>
    <cellStyle name="Примечание 2 6 4 3 4 3" xfId="1834" xr:uid="{00000000-0005-0000-0000-00002F070000}"/>
    <cellStyle name="Примечание 2 6 4 3 5" xfId="1835" xr:uid="{00000000-0005-0000-0000-000030070000}"/>
    <cellStyle name="Примечание 2 6 4 3 6" xfId="1836" xr:uid="{00000000-0005-0000-0000-000031070000}"/>
    <cellStyle name="Примечание 2 6 4 4" xfId="1837" xr:uid="{00000000-0005-0000-0000-000032070000}"/>
    <cellStyle name="Примечание 2 6 4 4 2" xfId="1838" xr:uid="{00000000-0005-0000-0000-000033070000}"/>
    <cellStyle name="Примечание 2 6 4 4 2 2" xfId="1839" xr:uid="{00000000-0005-0000-0000-000034070000}"/>
    <cellStyle name="Примечание 2 6 4 4 2 3" xfId="1840" xr:uid="{00000000-0005-0000-0000-000035070000}"/>
    <cellStyle name="Примечание 2 6 4 4 3" xfId="1841" xr:uid="{00000000-0005-0000-0000-000036070000}"/>
    <cellStyle name="Примечание 2 6 4 4 3 2" xfId="1842" xr:uid="{00000000-0005-0000-0000-000037070000}"/>
    <cellStyle name="Примечание 2 6 4 4 3 3" xfId="1843" xr:uid="{00000000-0005-0000-0000-000038070000}"/>
    <cellStyle name="Примечание 2 6 4 4 4" xfId="1844" xr:uid="{00000000-0005-0000-0000-000039070000}"/>
    <cellStyle name="Примечание 2 6 4 4 4 2" xfId="1845" xr:uid="{00000000-0005-0000-0000-00003A070000}"/>
    <cellStyle name="Примечание 2 6 4 4 4 3" xfId="1846" xr:uid="{00000000-0005-0000-0000-00003B070000}"/>
    <cellStyle name="Примечание 2 6 4 4 5" xfId="1847" xr:uid="{00000000-0005-0000-0000-00003C070000}"/>
    <cellStyle name="Примечание 2 6 4 4 6" xfId="1848" xr:uid="{00000000-0005-0000-0000-00003D070000}"/>
    <cellStyle name="Примечание 2 6 4 5" xfId="1849" xr:uid="{00000000-0005-0000-0000-00003E070000}"/>
    <cellStyle name="Примечание 2 6 4 5 2" xfId="1850" xr:uid="{00000000-0005-0000-0000-00003F070000}"/>
    <cellStyle name="Примечание 2 6 4 5 3" xfId="1851" xr:uid="{00000000-0005-0000-0000-000040070000}"/>
    <cellStyle name="Примечание 2 6 4 6" xfId="1852" xr:uid="{00000000-0005-0000-0000-000041070000}"/>
    <cellStyle name="Примечание 2 6 4 6 2" xfId="1853" xr:uid="{00000000-0005-0000-0000-000042070000}"/>
    <cellStyle name="Примечание 2 6 4 6 3" xfId="1854" xr:uid="{00000000-0005-0000-0000-000043070000}"/>
    <cellStyle name="Примечание 2 6 4 7" xfId="1855" xr:uid="{00000000-0005-0000-0000-000044070000}"/>
    <cellStyle name="Примечание 2 6 4 7 2" xfId="1856" xr:uid="{00000000-0005-0000-0000-000045070000}"/>
    <cellStyle name="Примечание 2 6 4 7 3" xfId="1857" xr:uid="{00000000-0005-0000-0000-000046070000}"/>
    <cellStyle name="Примечание 2 6 4 8" xfId="1858" xr:uid="{00000000-0005-0000-0000-000047070000}"/>
    <cellStyle name="Примечание 2 6 4 9" xfId="1859" xr:uid="{00000000-0005-0000-0000-000048070000}"/>
    <cellStyle name="Примечание 2 6 5" xfId="1860" xr:uid="{00000000-0005-0000-0000-000049070000}"/>
    <cellStyle name="Примечание 2 6 5 2" xfId="1861" xr:uid="{00000000-0005-0000-0000-00004A070000}"/>
    <cellStyle name="Примечание 2 6 5 2 2" xfId="1862" xr:uid="{00000000-0005-0000-0000-00004B070000}"/>
    <cellStyle name="Примечание 2 6 5 2 3" xfId="1863" xr:uid="{00000000-0005-0000-0000-00004C070000}"/>
    <cellStyle name="Примечание 2 6 5 3" xfId="1864" xr:uid="{00000000-0005-0000-0000-00004D070000}"/>
    <cellStyle name="Примечание 2 6 5 3 2" xfId="1865" xr:uid="{00000000-0005-0000-0000-00004E070000}"/>
    <cellStyle name="Примечание 2 6 5 3 3" xfId="1866" xr:uid="{00000000-0005-0000-0000-00004F070000}"/>
    <cellStyle name="Примечание 2 6 5 4" xfId="1867" xr:uid="{00000000-0005-0000-0000-000050070000}"/>
    <cellStyle name="Примечание 2 6 5 4 2" xfId="1868" xr:uid="{00000000-0005-0000-0000-000051070000}"/>
    <cellStyle name="Примечание 2 6 5 4 3" xfId="1869" xr:uid="{00000000-0005-0000-0000-000052070000}"/>
    <cellStyle name="Примечание 2 6 5 5" xfId="1870" xr:uid="{00000000-0005-0000-0000-000053070000}"/>
    <cellStyle name="Примечание 2 6 5 6" xfId="1871" xr:uid="{00000000-0005-0000-0000-000054070000}"/>
    <cellStyle name="Примечание 2 6 6" xfId="1872" xr:uid="{00000000-0005-0000-0000-000055070000}"/>
    <cellStyle name="Примечание 2 6 6 2" xfId="1873" xr:uid="{00000000-0005-0000-0000-000056070000}"/>
    <cellStyle name="Примечание 2 6 6 2 2" xfId="1874" xr:uid="{00000000-0005-0000-0000-000057070000}"/>
    <cellStyle name="Примечание 2 6 6 2 3" xfId="1875" xr:uid="{00000000-0005-0000-0000-000058070000}"/>
    <cellStyle name="Примечание 2 6 6 3" xfId="1876" xr:uid="{00000000-0005-0000-0000-000059070000}"/>
    <cellStyle name="Примечание 2 6 6 3 2" xfId="1877" xr:uid="{00000000-0005-0000-0000-00005A070000}"/>
    <cellStyle name="Примечание 2 6 6 3 3" xfId="1878" xr:uid="{00000000-0005-0000-0000-00005B070000}"/>
    <cellStyle name="Примечание 2 6 6 4" xfId="1879" xr:uid="{00000000-0005-0000-0000-00005C070000}"/>
    <cellStyle name="Примечание 2 6 6 4 2" xfId="1880" xr:uid="{00000000-0005-0000-0000-00005D070000}"/>
    <cellStyle name="Примечание 2 6 6 4 3" xfId="1881" xr:uid="{00000000-0005-0000-0000-00005E070000}"/>
    <cellStyle name="Примечание 2 6 6 5" xfId="1882" xr:uid="{00000000-0005-0000-0000-00005F070000}"/>
    <cellStyle name="Примечание 2 6 6 6" xfId="1883" xr:uid="{00000000-0005-0000-0000-000060070000}"/>
    <cellStyle name="Примечание 2 6 7" xfId="1884" xr:uid="{00000000-0005-0000-0000-000061070000}"/>
    <cellStyle name="Примечание 2 6 7 2" xfId="1885" xr:uid="{00000000-0005-0000-0000-000062070000}"/>
    <cellStyle name="Примечание 2 6 7 2 2" xfId="1886" xr:uid="{00000000-0005-0000-0000-000063070000}"/>
    <cellStyle name="Примечание 2 6 7 2 3" xfId="1887" xr:uid="{00000000-0005-0000-0000-000064070000}"/>
    <cellStyle name="Примечание 2 6 7 3" xfId="1888" xr:uid="{00000000-0005-0000-0000-000065070000}"/>
    <cellStyle name="Примечание 2 6 7 3 2" xfId="1889" xr:uid="{00000000-0005-0000-0000-000066070000}"/>
    <cellStyle name="Примечание 2 6 7 3 3" xfId="1890" xr:uid="{00000000-0005-0000-0000-000067070000}"/>
    <cellStyle name="Примечание 2 6 7 4" xfId="1891" xr:uid="{00000000-0005-0000-0000-000068070000}"/>
    <cellStyle name="Примечание 2 6 7 4 2" xfId="1892" xr:uid="{00000000-0005-0000-0000-000069070000}"/>
    <cellStyle name="Примечание 2 6 7 4 3" xfId="1893" xr:uid="{00000000-0005-0000-0000-00006A070000}"/>
    <cellStyle name="Примечание 2 6 7 5" xfId="1894" xr:uid="{00000000-0005-0000-0000-00006B070000}"/>
    <cellStyle name="Примечание 2 6 7 6" xfId="1895" xr:uid="{00000000-0005-0000-0000-00006C070000}"/>
    <cellStyle name="Примечание 2 6 8" xfId="1896" xr:uid="{00000000-0005-0000-0000-00006D070000}"/>
    <cellStyle name="Примечание 2 6 8 2" xfId="1897" xr:uid="{00000000-0005-0000-0000-00006E070000}"/>
    <cellStyle name="Примечание 2 6 8 3" xfId="1898" xr:uid="{00000000-0005-0000-0000-00006F070000}"/>
    <cellStyle name="Примечание 2 6 9" xfId="1899" xr:uid="{00000000-0005-0000-0000-000070070000}"/>
    <cellStyle name="Примечание 2 6 9 2" xfId="1900" xr:uid="{00000000-0005-0000-0000-000071070000}"/>
    <cellStyle name="Примечание 2 6 9 3" xfId="1901" xr:uid="{00000000-0005-0000-0000-000072070000}"/>
    <cellStyle name="Примечание 2 7" xfId="1902" xr:uid="{00000000-0005-0000-0000-000073070000}"/>
    <cellStyle name="Примечание 2 7 10" xfId="1903" xr:uid="{00000000-0005-0000-0000-000074070000}"/>
    <cellStyle name="Примечание 2 7 10 2" xfId="1904" xr:uid="{00000000-0005-0000-0000-000075070000}"/>
    <cellStyle name="Примечание 2 7 10 3" xfId="1905" xr:uid="{00000000-0005-0000-0000-000076070000}"/>
    <cellStyle name="Примечание 2 7 11" xfId="1906" xr:uid="{00000000-0005-0000-0000-000077070000}"/>
    <cellStyle name="Примечание 2 7 12" xfId="1907" xr:uid="{00000000-0005-0000-0000-000078070000}"/>
    <cellStyle name="Примечание 2 7 2" xfId="1908" xr:uid="{00000000-0005-0000-0000-000079070000}"/>
    <cellStyle name="Примечание 2 7 2 2" xfId="1909" xr:uid="{00000000-0005-0000-0000-00007A070000}"/>
    <cellStyle name="Примечание 2 7 2 2 2" xfId="1910" xr:uid="{00000000-0005-0000-0000-00007B070000}"/>
    <cellStyle name="Примечание 2 7 2 2 2 2" xfId="1911" xr:uid="{00000000-0005-0000-0000-00007C070000}"/>
    <cellStyle name="Примечание 2 7 2 2 2 3" xfId="1912" xr:uid="{00000000-0005-0000-0000-00007D070000}"/>
    <cellStyle name="Примечание 2 7 2 2 3" xfId="1913" xr:uid="{00000000-0005-0000-0000-00007E070000}"/>
    <cellStyle name="Примечание 2 7 2 2 3 2" xfId="1914" xr:uid="{00000000-0005-0000-0000-00007F070000}"/>
    <cellStyle name="Примечание 2 7 2 2 3 3" xfId="1915" xr:uid="{00000000-0005-0000-0000-000080070000}"/>
    <cellStyle name="Примечание 2 7 2 2 4" xfId="1916" xr:uid="{00000000-0005-0000-0000-000081070000}"/>
    <cellStyle name="Примечание 2 7 2 2 4 2" xfId="1917" xr:uid="{00000000-0005-0000-0000-000082070000}"/>
    <cellStyle name="Примечание 2 7 2 2 4 3" xfId="1918" xr:uid="{00000000-0005-0000-0000-000083070000}"/>
    <cellStyle name="Примечание 2 7 2 2 5" xfId="1919" xr:uid="{00000000-0005-0000-0000-000084070000}"/>
    <cellStyle name="Примечание 2 7 2 2 6" xfId="1920" xr:uid="{00000000-0005-0000-0000-000085070000}"/>
    <cellStyle name="Примечание 2 7 2 3" xfId="1921" xr:uid="{00000000-0005-0000-0000-000086070000}"/>
    <cellStyle name="Примечание 2 7 2 3 2" xfId="1922" xr:uid="{00000000-0005-0000-0000-000087070000}"/>
    <cellStyle name="Примечание 2 7 2 3 2 2" xfId="1923" xr:uid="{00000000-0005-0000-0000-000088070000}"/>
    <cellStyle name="Примечание 2 7 2 3 2 3" xfId="1924" xr:uid="{00000000-0005-0000-0000-000089070000}"/>
    <cellStyle name="Примечание 2 7 2 3 3" xfId="1925" xr:uid="{00000000-0005-0000-0000-00008A070000}"/>
    <cellStyle name="Примечание 2 7 2 3 3 2" xfId="1926" xr:uid="{00000000-0005-0000-0000-00008B070000}"/>
    <cellStyle name="Примечание 2 7 2 3 3 3" xfId="1927" xr:uid="{00000000-0005-0000-0000-00008C070000}"/>
    <cellStyle name="Примечание 2 7 2 3 4" xfId="1928" xr:uid="{00000000-0005-0000-0000-00008D070000}"/>
    <cellStyle name="Примечание 2 7 2 3 4 2" xfId="1929" xr:uid="{00000000-0005-0000-0000-00008E070000}"/>
    <cellStyle name="Примечание 2 7 2 3 4 3" xfId="1930" xr:uid="{00000000-0005-0000-0000-00008F070000}"/>
    <cellStyle name="Примечание 2 7 2 3 5" xfId="1931" xr:uid="{00000000-0005-0000-0000-000090070000}"/>
    <cellStyle name="Примечание 2 7 2 3 6" xfId="1932" xr:uid="{00000000-0005-0000-0000-000091070000}"/>
    <cellStyle name="Примечание 2 7 2 4" xfId="1933" xr:uid="{00000000-0005-0000-0000-000092070000}"/>
    <cellStyle name="Примечание 2 7 2 4 2" xfId="1934" xr:uid="{00000000-0005-0000-0000-000093070000}"/>
    <cellStyle name="Примечание 2 7 2 4 2 2" xfId="1935" xr:uid="{00000000-0005-0000-0000-000094070000}"/>
    <cellStyle name="Примечание 2 7 2 4 2 3" xfId="1936" xr:uid="{00000000-0005-0000-0000-000095070000}"/>
    <cellStyle name="Примечание 2 7 2 4 3" xfId="1937" xr:uid="{00000000-0005-0000-0000-000096070000}"/>
    <cellStyle name="Примечание 2 7 2 4 3 2" xfId="1938" xr:uid="{00000000-0005-0000-0000-000097070000}"/>
    <cellStyle name="Примечание 2 7 2 4 3 3" xfId="1939" xr:uid="{00000000-0005-0000-0000-000098070000}"/>
    <cellStyle name="Примечание 2 7 2 4 4" xfId="1940" xr:uid="{00000000-0005-0000-0000-000099070000}"/>
    <cellStyle name="Примечание 2 7 2 4 4 2" xfId="1941" xr:uid="{00000000-0005-0000-0000-00009A070000}"/>
    <cellStyle name="Примечание 2 7 2 4 4 3" xfId="1942" xr:uid="{00000000-0005-0000-0000-00009B070000}"/>
    <cellStyle name="Примечание 2 7 2 4 5" xfId="1943" xr:uid="{00000000-0005-0000-0000-00009C070000}"/>
    <cellStyle name="Примечание 2 7 2 4 6" xfId="1944" xr:uid="{00000000-0005-0000-0000-00009D070000}"/>
    <cellStyle name="Примечание 2 7 2 5" xfId="1945" xr:uid="{00000000-0005-0000-0000-00009E070000}"/>
    <cellStyle name="Примечание 2 7 2 5 2" xfId="1946" xr:uid="{00000000-0005-0000-0000-00009F070000}"/>
    <cellStyle name="Примечание 2 7 2 5 3" xfId="1947" xr:uid="{00000000-0005-0000-0000-0000A0070000}"/>
    <cellStyle name="Примечание 2 7 2 6" xfId="1948" xr:uid="{00000000-0005-0000-0000-0000A1070000}"/>
    <cellStyle name="Примечание 2 7 2 6 2" xfId="1949" xr:uid="{00000000-0005-0000-0000-0000A2070000}"/>
    <cellStyle name="Примечание 2 7 2 6 3" xfId="1950" xr:uid="{00000000-0005-0000-0000-0000A3070000}"/>
    <cellStyle name="Примечание 2 7 2 7" xfId="1951" xr:uid="{00000000-0005-0000-0000-0000A4070000}"/>
    <cellStyle name="Примечание 2 7 2 7 2" xfId="1952" xr:uid="{00000000-0005-0000-0000-0000A5070000}"/>
    <cellStyle name="Примечание 2 7 2 7 3" xfId="1953" xr:uid="{00000000-0005-0000-0000-0000A6070000}"/>
    <cellStyle name="Примечание 2 7 2 8" xfId="1954" xr:uid="{00000000-0005-0000-0000-0000A7070000}"/>
    <cellStyle name="Примечание 2 7 2 9" xfId="1955" xr:uid="{00000000-0005-0000-0000-0000A8070000}"/>
    <cellStyle name="Примечание 2 7 3" xfId="1956" xr:uid="{00000000-0005-0000-0000-0000A9070000}"/>
    <cellStyle name="Примечание 2 7 3 2" xfId="1957" xr:uid="{00000000-0005-0000-0000-0000AA070000}"/>
    <cellStyle name="Примечание 2 7 3 2 2" xfId="1958" xr:uid="{00000000-0005-0000-0000-0000AB070000}"/>
    <cellStyle name="Примечание 2 7 3 2 2 2" xfId="1959" xr:uid="{00000000-0005-0000-0000-0000AC070000}"/>
    <cellStyle name="Примечание 2 7 3 2 2 3" xfId="1960" xr:uid="{00000000-0005-0000-0000-0000AD070000}"/>
    <cellStyle name="Примечание 2 7 3 2 3" xfId="1961" xr:uid="{00000000-0005-0000-0000-0000AE070000}"/>
    <cellStyle name="Примечание 2 7 3 2 3 2" xfId="1962" xr:uid="{00000000-0005-0000-0000-0000AF070000}"/>
    <cellStyle name="Примечание 2 7 3 2 3 3" xfId="1963" xr:uid="{00000000-0005-0000-0000-0000B0070000}"/>
    <cellStyle name="Примечание 2 7 3 2 4" xfId="1964" xr:uid="{00000000-0005-0000-0000-0000B1070000}"/>
    <cellStyle name="Примечание 2 7 3 2 4 2" xfId="1965" xr:uid="{00000000-0005-0000-0000-0000B2070000}"/>
    <cellStyle name="Примечание 2 7 3 2 4 3" xfId="1966" xr:uid="{00000000-0005-0000-0000-0000B3070000}"/>
    <cellStyle name="Примечание 2 7 3 2 5" xfId="1967" xr:uid="{00000000-0005-0000-0000-0000B4070000}"/>
    <cellStyle name="Примечание 2 7 3 2 6" xfId="1968" xr:uid="{00000000-0005-0000-0000-0000B5070000}"/>
    <cellStyle name="Примечание 2 7 3 3" xfId="1969" xr:uid="{00000000-0005-0000-0000-0000B6070000}"/>
    <cellStyle name="Примечание 2 7 3 3 2" xfId="1970" xr:uid="{00000000-0005-0000-0000-0000B7070000}"/>
    <cellStyle name="Примечание 2 7 3 3 2 2" xfId="1971" xr:uid="{00000000-0005-0000-0000-0000B8070000}"/>
    <cellStyle name="Примечание 2 7 3 3 2 3" xfId="1972" xr:uid="{00000000-0005-0000-0000-0000B9070000}"/>
    <cellStyle name="Примечание 2 7 3 3 3" xfId="1973" xr:uid="{00000000-0005-0000-0000-0000BA070000}"/>
    <cellStyle name="Примечание 2 7 3 3 3 2" xfId="1974" xr:uid="{00000000-0005-0000-0000-0000BB070000}"/>
    <cellStyle name="Примечание 2 7 3 3 3 3" xfId="1975" xr:uid="{00000000-0005-0000-0000-0000BC070000}"/>
    <cellStyle name="Примечание 2 7 3 3 4" xfId="1976" xr:uid="{00000000-0005-0000-0000-0000BD070000}"/>
    <cellStyle name="Примечание 2 7 3 3 4 2" xfId="1977" xr:uid="{00000000-0005-0000-0000-0000BE070000}"/>
    <cellStyle name="Примечание 2 7 3 3 4 3" xfId="1978" xr:uid="{00000000-0005-0000-0000-0000BF070000}"/>
    <cellStyle name="Примечание 2 7 3 3 5" xfId="1979" xr:uid="{00000000-0005-0000-0000-0000C0070000}"/>
    <cellStyle name="Примечание 2 7 3 3 6" xfId="1980" xr:uid="{00000000-0005-0000-0000-0000C1070000}"/>
    <cellStyle name="Примечание 2 7 3 4" xfId="1981" xr:uid="{00000000-0005-0000-0000-0000C2070000}"/>
    <cellStyle name="Примечание 2 7 3 4 2" xfId="1982" xr:uid="{00000000-0005-0000-0000-0000C3070000}"/>
    <cellStyle name="Примечание 2 7 3 4 2 2" xfId="1983" xr:uid="{00000000-0005-0000-0000-0000C4070000}"/>
    <cellStyle name="Примечание 2 7 3 4 2 3" xfId="1984" xr:uid="{00000000-0005-0000-0000-0000C5070000}"/>
    <cellStyle name="Примечание 2 7 3 4 3" xfId="1985" xr:uid="{00000000-0005-0000-0000-0000C6070000}"/>
    <cellStyle name="Примечание 2 7 3 4 3 2" xfId="1986" xr:uid="{00000000-0005-0000-0000-0000C7070000}"/>
    <cellStyle name="Примечание 2 7 3 4 3 3" xfId="1987" xr:uid="{00000000-0005-0000-0000-0000C8070000}"/>
    <cellStyle name="Примечание 2 7 3 4 4" xfId="1988" xr:uid="{00000000-0005-0000-0000-0000C9070000}"/>
    <cellStyle name="Примечание 2 7 3 4 4 2" xfId="1989" xr:uid="{00000000-0005-0000-0000-0000CA070000}"/>
    <cellStyle name="Примечание 2 7 3 4 4 3" xfId="1990" xr:uid="{00000000-0005-0000-0000-0000CB070000}"/>
    <cellStyle name="Примечание 2 7 3 4 5" xfId="1991" xr:uid="{00000000-0005-0000-0000-0000CC070000}"/>
    <cellStyle name="Примечание 2 7 3 4 6" xfId="1992" xr:uid="{00000000-0005-0000-0000-0000CD070000}"/>
    <cellStyle name="Примечание 2 7 3 5" xfId="1993" xr:uid="{00000000-0005-0000-0000-0000CE070000}"/>
    <cellStyle name="Примечание 2 7 3 5 2" xfId="1994" xr:uid="{00000000-0005-0000-0000-0000CF070000}"/>
    <cellStyle name="Примечание 2 7 3 5 3" xfId="1995" xr:uid="{00000000-0005-0000-0000-0000D0070000}"/>
    <cellStyle name="Примечание 2 7 3 6" xfId="1996" xr:uid="{00000000-0005-0000-0000-0000D1070000}"/>
    <cellStyle name="Примечание 2 7 3 6 2" xfId="1997" xr:uid="{00000000-0005-0000-0000-0000D2070000}"/>
    <cellStyle name="Примечание 2 7 3 6 3" xfId="1998" xr:uid="{00000000-0005-0000-0000-0000D3070000}"/>
    <cellStyle name="Примечание 2 7 3 7" xfId="1999" xr:uid="{00000000-0005-0000-0000-0000D4070000}"/>
    <cellStyle name="Примечание 2 7 3 7 2" xfId="2000" xr:uid="{00000000-0005-0000-0000-0000D5070000}"/>
    <cellStyle name="Примечание 2 7 3 7 3" xfId="2001" xr:uid="{00000000-0005-0000-0000-0000D6070000}"/>
    <cellStyle name="Примечание 2 7 3 8" xfId="2002" xr:uid="{00000000-0005-0000-0000-0000D7070000}"/>
    <cellStyle name="Примечание 2 7 3 9" xfId="2003" xr:uid="{00000000-0005-0000-0000-0000D8070000}"/>
    <cellStyle name="Примечание 2 7 4" xfId="2004" xr:uid="{00000000-0005-0000-0000-0000D9070000}"/>
    <cellStyle name="Примечание 2 7 4 2" xfId="2005" xr:uid="{00000000-0005-0000-0000-0000DA070000}"/>
    <cellStyle name="Примечание 2 7 4 2 2" xfId="2006" xr:uid="{00000000-0005-0000-0000-0000DB070000}"/>
    <cellStyle name="Примечание 2 7 4 2 2 2" xfId="2007" xr:uid="{00000000-0005-0000-0000-0000DC070000}"/>
    <cellStyle name="Примечание 2 7 4 2 2 3" xfId="2008" xr:uid="{00000000-0005-0000-0000-0000DD070000}"/>
    <cellStyle name="Примечание 2 7 4 2 3" xfId="2009" xr:uid="{00000000-0005-0000-0000-0000DE070000}"/>
    <cellStyle name="Примечание 2 7 4 2 3 2" xfId="2010" xr:uid="{00000000-0005-0000-0000-0000DF070000}"/>
    <cellStyle name="Примечание 2 7 4 2 3 3" xfId="2011" xr:uid="{00000000-0005-0000-0000-0000E0070000}"/>
    <cellStyle name="Примечание 2 7 4 2 4" xfId="2012" xr:uid="{00000000-0005-0000-0000-0000E1070000}"/>
    <cellStyle name="Примечание 2 7 4 2 4 2" xfId="2013" xr:uid="{00000000-0005-0000-0000-0000E2070000}"/>
    <cellStyle name="Примечание 2 7 4 2 4 3" xfId="2014" xr:uid="{00000000-0005-0000-0000-0000E3070000}"/>
    <cellStyle name="Примечание 2 7 4 2 5" xfId="2015" xr:uid="{00000000-0005-0000-0000-0000E4070000}"/>
    <cellStyle name="Примечание 2 7 4 2 6" xfId="2016" xr:uid="{00000000-0005-0000-0000-0000E5070000}"/>
    <cellStyle name="Примечание 2 7 4 3" xfId="2017" xr:uid="{00000000-0005-0000-0000-0000E6070000}"/>
    <cellStyle name="Примечание 2 7 4 3 2" xfId="2018" xr:uid="{00000000-0005-0000-0000-0000E7070000}"/>
    <cellStyle name="Примечание 2 7 4 3 2 2" xfId="2019" xr:uid="{00000000-0005-0000-0000-0000E8070000}"/>
    <cellStyle name="Примечание 2 7 4 3 2 3" xfId="2020" xr:uid="{00000000-0005-0000-0000-0000E9070000}"/>
    <cellStyle name="Примечание 2 7 4 3 3" xfId="2021" xr:uid="{00000000-0005-0000-0000-0000EA070000}"/>
    <cellStyle name="Примечание 2 7 4 3 3 2" xfId="2022" xr:uid="{00000000-0005-0000-0000-0000EB070000}"/>
    <cellStyle name="Примечание 2 7 4 3 3 3" xfId="2023" xr:uid="{00000000-0005-0000-0000-0000EC070000}"/>
    <cellStyle name="Примечание 2 7 4 3 4" xfId="2024" xr:uid="{00000000-0005-0000-0000-0000ED070000}"/>
    <cellStyle name="Примечание 2 7 4 3 4 2" xfId="2025" xr:uid="{00000000-0005-0000-0000-0000EE070000}"/>
    <cellStyle name="Примечание 2 7 4 3 4 3" xfId="2026" xr:uid="{00000000-0005-0000-0000-0000EF070000}"/>
    <cellStyle name="Примечание 2 7 4 3 5" xfId="2027" xr:uid="{00000000-0005-0000-0000-0000F0070000}"/>
    <cellStyle name="Примечание 2 7 4 3 6" xfId="2028" xr:uid="{00000000-0005-0000-0000-0000F1070000}"/>
    <cellStyle name="Примечание 2 7 4 4" xfId="2029" xr:uid="{00000000-0005-0000-0000-0000F2070000}"/>
    <cellStyle name="Примечание 2 7 4 4 2" xfId="2030" xr:uid="{00000000-0005-0000-0000-0000F3070000}"/>
    <cellStyle name="Примечание 2 7 4 4 2 2" xfId="2031" xr:uid="{00000000-0005-0000-0000-0000F4070000}"/>
    <cellStyle name="Примечание 2 7 4 4 2 3" xfId="2032" xr:uid="{00000000-0005-0000-0000-0000F5070000}"/>
    <cellStyle name="Примечание 2 7 4 4 3" xfId="2033" xr:uid="{00000000-0005-0000-0000-0000F6070000}"/>
    <cellStyle name="Примечание 2 7 4 4 3 2" xfId="2034" xr:uid="{00000000-0005-0000-0000-0000F7070000}"/>
    <cellStyle name="Примечание 2 7 4 4 3 3" xfId="2035" xr:uid="{00000000-0005-0000-0000-0000F8070000}"/>
    <cellStyle name="Примечание 2 7 4 4 4" xfId="2036" xr:uid="{00000000-0005-0000-0000-0000F9070000}"/>
    <cellStyle name="Примечание 2 7 4 4 4 2" xfId="2037" xr:uid="{00000000-0005-0000-0000-0000FA070000}"/>
    <cellStyle name="Примечание 2 7 4 4 4 3" xfId="2038" xr:uid="{00000000-0005-0000-0000-0000FB070000}"/>
    <cellStyle name="Примечание 2 7 4 4 5" xfId="2039" xr:uid="{00000000-0005-0000-0000-0000FC070000}"/>
    <cellStyle name="Примечание 2 7 4 4 6" xfId="2040" xr:uid="{00000000-0005-0000-0000-0000FD070000}"/>
    <cellStyle name="Примечание 2 7 4 5" xfId="2041" xr:uid="{00000000-0005-0000-0000-0000FE070000}"/>
    <cellStyle name="Примечание 2 7 4 5 2" xfId="2042" xr:uid="{00000000-0005-0000-0000-0000FF070000}"/>
    <cellStyle name="Примечание 2 7 4 5 3" xfId="2043" xr:uid="{00000000-0005-0000-0000-000000080000}"/>
    <cellStyle name="Примечание 2 7 4 6" xfId="2044" xr:uid="{00000000-0005-0000-0000-000001080000}"/>
    <cellStyle name="Примечание 2 7 4 6 2" xfId="2045" xr:uid="{00000000-0005-0000-0000-000002080000}"/>
    <cellStyle name="Примечание 2 7 4 6 3" xfId="2046" xr:uid="{00000000-0005-0000-0000-000003080000}"/>
    <cellStyle name="Примечание 2 7 4 7" xfId="2047" xr:uid="{00000000-0005-0000-0000-000004080000}"/>
    <cellStyle name="Примечание 2 7 4 7 2" xfId="2048" xr:uid="{00000000-0005-0000-0000-000005080000}"/>
    <cellStyle name="Примечание 2 7 4 7 3" xfId="2049" xr:uid="{00000000-0005-0000-0000-000006080000}"/>
    <cellStyle name="Примечание 2 7 4 8" xfId="2050" xr:uid="{00000000-0005-0000-0000-000007080000}"/>
    <cellStyle name="Примечание 2 7 4 9" xfId="2051" xr:uid="{00000000-0005-0000-0000-000008080000}"/>
    <cellStyle name="Примечание 2 7 5" xfId="2052" xr:uid="{00000000-0005-0000-0000-000009080000}"/>
    <cellStyle name="Примечание 2 7 5 2" xfId="2053" xr:uid="{00000000-0005-0000-0000-00000A080000}"/>
    <cellStyle name="Примечание 2 7 5 2 2" xfId="2054" xr:uid="{00000000-0005-0000-0000-00000B080000}"/>
    <cellStyle name="Примечание 2 7 5 2 3" xfId="2055" xr:uid="{00000000-0005-0000-0000-00000C080000}"/>
    <cellStyle name="Примечание 2 7 5 3" xfId="2056" xr:uid="{00000000-0005-0000-0000-00000D080000}"/>
    <cellStyle name="Примечание 2 7 5 3 2" xfId="2057" xr:uid="{00000000-0005-0000-0000-00000E080000}"/>
    <cellStyle name="Примечание 2 7 5 3 3" xfId="2058" xr:uid="{00000000-0005-0000-0000-00000F080000}"/>
    <cellStyle name="Примечание 2 7 5 4" xfId="2059" xr:uid="{00000000-0005-0000-0000-000010080000}"/>
    <cellStyle name="Примечание 2 7 5 4 2" xfId="2060" xr:uid="{00000000-0005-0000-0000-000011080000}"/>
    <cellStyle name="Примечание 2 7 5 4 3" xfId="2061" xr:uid="{00000000-0005-0000-0000-000012080000}"/>
    <cellStyle name="Примечание 2 7 5 5" xfId="2062" xr:uid="{00000000-0005-0000-0000-000013080000}"/>
    <cellStyle name="Примечание 2 7 5 6" xfId="2063" xr:uid="{00000000-0005-0000-0000-000014080000}"/>
    <cellStyle name="Примечание 2 7 6" xfId="2064" xr:uid="{00000000-0005-0000-0000-000015080000}"/>
    <cellStyle name="Примечание 2 7 6 2" xfId="2065" xr:uid="{00000000-0005-0000-0000-000016080000}"/>
    <cellStyle name="Примечание 2 7 6 2 2" xfId="2066" xr:uid="{00000000-0005-0000-0000-000017080000}"/>
    <cellStyle name="Примечание 2 7 6 2 3" xfId="2067" xr:uid="{00000000-0005-0000-0000-000018080000}"/>
    <cellStyle name="Примечание 2 7 6 3" xfId="2068" xr:uid="{00000000-0005-0000-0000-000019080000}"/>
    <cellStyle name="Примечание 2 7 6 3 2" xfId="2069" xr:uid="{00000000-0005-0000-0000-00001A080000}"/>
    <cellStyle name="Примечание 2 7 6 3 3" xfId="2070" xr:uid="{00000000-0005-0000-0000-00001B080000}"/>
    <cellStyle name="Примечание 2 7 6 4" xfId="2071" xr:uid="{00000000-0005-0000-0000-00001C080000}"/>
    <cellStyle name="Примечание 2 7 6 4 2" xfId="2072" xr:uid="{00000000-0005-0000-0000-00001D080000}"/>
    <cellStyle name="Примечание 2 7 6 4 3" xfId="2073" xr:uid="{00000000-0005-0000-0000-00001E080000}"/>
    <cellStyle name="Примечание 2 7 6 5" xfId="2074" xr:uid="{00000000-0005-0000-0000-00001F080000}"/>
    <cellStyle name="Примечание 2 7 6 6" xfId="2075" xr:uid="{00000000-0005-0000-0000-000020080000}"/>
    <cellStyle name="Примечание 2 7 7" xfId="2076" xr:uid="{00000000-0005-0000-0000-000021080000}"/>
    <cellStyle name="Примечание 2 7 7 2" xfId="2077" xr:uid="{00000000-0005-0000-0000-000022080000}"/>
    <cellStyle name="Примечание 2 7 7 2 2" xfId="2078" xr:uid="{00000000-0005-0000-0000-000023080000}"/>
    <cellStyle name="Примечание 2 7 7 2 3" xfId="2079" xr:uid="{00000000-0005-0000-0000-000024080000}"/>
    <cellStyle name="Примечание 2 7 7 3" xfId="2080" xr:uid="{00000000-0005-0000-0000-000025080000}"/>
    <cellStyle name="Примечание 2 7 7 3 2" xfId="2081" xr:uid="{00000000-0005-0000-0000-000026080000}"/>
    <cellStyle name="Примечание 2 7 7 3 3" xfId="2082" xr:uid="{00000000-0005-0000-0000-000027080000}"/>
    <cellStyle name="Примечание 2 7 7 4" xfId="2083" xr:uid="{00000000-0005-0000-0000-000028080000}"/>
    <cellStyle name="Примечание 2 7 7 4 2" xfId="2084" xr:uid="{00000000-0005-0000-0000-000029080000}"/>
    <cellStyle name="Примечание 2 7 7 4 3" xfId="2085" xr:uid="{00000000-0005-0000-0000-00002A080000}"/>
    <cellStyle name="Примечание 2 7 7 5" xfId="2086" xr:uid="{00000000-0005-0000-0000-00002B080000}"/>
    <cellStyle name="Примечание 2 7 7 6" xfId="2087" xr:uid="{00000000-0005-0000-0000-00002C080000}"/>
    <cellStyle name="Примечание 2 7 8" xfId="2088" xr:uid="{00000000-0005-0000-0000-00002D080000}"/>
    <cellStyle name="Примечание 2 7 8 2" xfId="2089" xr:uid="{00000000-0005-0000-0000-00002E080000}"/>
    <cellStyle name="Примечание 2 7 8 3" xfId="2090" xr:uid="{00000000-0005-0000-0000-00002F080000}"/>
    <cellStyle name="Примечание 2 7 9" xfId="2091" xr:uid="{00000000-0005-0000-0000-000030080000}"/>
    <cellStyle name="Примечание 2 7 9 2" xfId="2092" xr:uid="{00000000-0005-0000-0000-000031080000}"/>
    <cellStyle name="Примечание 2 7 9 3" xfId="2093" xr:uid="{00000000-0005-0000-0000-000032080000}"/>
    <cellStyle name="Примечание 2 8" xfId="2094" xr:uid="{00000000-0005-0000-0000-000033080000}"/>
    <cellStyle name="Примечание 2 8 10" xfId="2095" xr:uid="{00000000-0005-0000-0000-000034080000}"/>
    <cellStyle name="Примечание 2 8 10 2" xfId="2096" xr:uid="{00000000-0005-0000-0000-000035080000}"/>
    <cellStyle name="Примечание 2 8 10 3" xfId="2097" xr:uid="{00000000-0005-0000-0000-000036080000}"/>
    <cellStyle name="Примечание 2 8 11" xfId="2098" xr:uid="{00000000-0005-0000-0000-000037080000}"/>
    <cellStyle name="Примечание 2 8 12" xfId="2099" xr:uid="{00000000-0005-0000-0000-000038080000}"/>
    <cellStyle name="Примечание 2 8 2" xfId="2100" xr:uid="{00000000-0005-0000-0000-000039080000}"/>
    <cellStyle name="Примечание 2 8 2 2" xfId="2101" xr:uid="{00000000-0005-0000-0000-00003A080000}"/>
    <cellStyle name="Примечание 2 8 2 2 2" xfId="2102" xr:uid="{00000000-0005-0000-0000-00003B080000}"/>
    <cellStyle name="Примечание 2 8 2 2 2 2" xfId="2103" xr:uid="{00000000-0005-0000-0000-00003C080000}"/>
    <cellStyle name="Примечание 2 8 2 2 2 3" xfId="2104" xr:uid="{00000000-0005-0000-0000-00003D080000}"/>
    <cellStyle name="Примечание 2 8 2 2 3" xfId="2105" xr:uid="{00000000-0005-0000-0000-00003E080000}"/>
    <cellStyle name="Примечание 2 8 2 2 3 2" xfId="2106" xr:uid="{00000000-0005-0000-0000-00003F080000}"/>
    <cellStyle name="Примечание 2 8 2 2 3 3" xfId="2107" xr:uid="{00000000-0005-0000-0000-000040080000}"/>
    <cellStyle name="Примечание 2 8 2 2 4" xfId="2108" xr:uid="{00000000-0005-0000-0000-000041080000}"/>
    <cellStyle name="Примечание 2 8 2 2 4 2" xfId="2109" xr:uid="{00000000-0005-0000-0000-000042080000}"/>
    <cellStyle name="Примечание 2 8 2 2 4 3" xfId="2110" xr:uid="{00000000-0005-0000-0000-000043080000}"/>
    <cellStyle name="Примечание 2 8 2 2 5" xfId="2111" xr:uid="{00000000-0005-0000-0000-000044080000}"/>
    <cellStyle name="Примечание 2 8 2 2 6" xfId="2112" xr:uid="{00000000-0005-0000-0000-000045080000}"/>
    <cellStyle name="Примечание 2 8 2 3" xfId="2113" xr:uid="{00000000-0005-0000-0000-000046080000}"/>
    <cellStyle name="Примечание 2 8 2 3 2" xfId="2114" xr:uid="{00000000-0005-0000-0000-000047080000}"/>
    <cellStyle name="Примечание 2 8 2 3 2 2" xfId="2115" xr:uid="{00000000-0005-0000-0000-000048080000}"/>
    <cellStyle name="Примечание 2 8 2 3 2 3" xfId="2116" xr:uid="{00000000-0005-0000-0000-000049080000}"/>
    <cellStyle name="Примечание 2 8 2 3 3" xfId="2117" xr:uid="{00000000-0005-0000-0000-00004A080000}"/>
    <cellStyle name="Примечание 2 8 2 3 3 2" xfId="2118" xr:uid="{00000000-0005-0000-0000-00004B080000}"/>
    <cellStyle name="Примечание 2 8 2 3 3 3" xfId="2119" xr:uid="{00000000-0005-0000-0000-00004C080000}"/>
    <cellStyle name="Примечание 2 8 2 3 4" xfId="2120" xr:uid="{00000000-0005-0000-0000-00004D080000}"/>
    <cellStyle name="Примечание 2 8 2 3 4 2" xfId="2121" xr:uid="{00000000-0005-0000-0000-00004E080000}"/>
    <cellStyle name="Примечание 2 8 2 3 4 3" xfId="2122" xr:uid="{00000000-0005-0000-0000-00004F080000}"/>
    <cellStyle name="Примечание 2 8 2 3 5" xfId="2123" xr:uid="{00000000-0005-0000-0000-000050080000}"/>
    <cellStyle name="Примечание 2 8 2 3 6" xfId="2124" xr:uid="{00000000-0005-0000-0000-000051080000}"/>
    <cellStyle name="Примечание 2 8 2 4" xfId="2125" xr:uid="{00000000-0005-0000-0000-000052080000}"/>
    <cellStyle name="Примечание 2 8 2 4 2" xfId="2126" xr:uid="{00000000-0005-0000-0000-000053080000}"/>
    <cellStyle name="Примечание 2 8 2 4 2 2" xfId="2127" xr:uid="{00000000-0005-0000-0000-000054080000}"/>
    <cellStyle name="Примечание 2 8 2 4 2 3" xfId="2128" xr:uid="{00000000-0005-0000-0000-000055080000}"/>
    <cellStyle name="Примечание 2 8 2 4 3" xfId="2129" xr:uid="{00000000-0005-0000-0000-000056080000}"/>
    <cellStyle name="Примечание 2 8 2 4 3 2" xfId="2130" xr:uid="{00000000-0005-0000-0000-000057080000}"/>
    <cellStyle name="Примечание 2 8 2 4 3 3" xfId="2131" xr:uid="{00000000-0005-0000-0000-000058080000}"/>
    <cellStyle name="Примечание 2 8 2 4 4" xfId="2132" xr:uid="{00000000-0005-0000-0000-000059080000}"/>
    <cellStyle name="Примечание 2 8 2 4 4 2" xfId="2133" xr:uid="{00000000-0005-0000-0000-00005A080000}"/>
    <cellStyle name="Примечание 2 8 2 4 4 3" xfId="2134" xr:uid="{00000000-0005-0000-0000-00005B080000}"/>
    <cellStyle name="Примечание 2 8 2 4 5" xfId="2135" xr:uid="{00000000-0005-0000-0000-00005C080000}"/>
    <cellStyle name="Примечание 2 8 2 4 6" xfId="2136" xr:uid="{00000000-0005-0000-0000-00005D080000}"/>
    <cellStyle name="Примечание 2 8 2 5" xfId="2137" xr:uid="{00000000-0005-0000-0000-00005E080000}"/>
    <cellStyle name="Примечание 2 8 2 5 2" xfId="2138" xr:uid="{00000000-0005-0000-0000-00005F080000}"/>
    <cellStyle name="Примечание 2 8 2 5 3" xfId="2139" xr:uid="{00000000-0005-0000-0000-000060080000}"/>
    <cellStyle name="Примечание 2 8 2 6" xfId="2140" xr:uid="{00000000-0005-0000-0000-000061080000}"/>
    <cellStyle name="Примечание 2 8 2 6 2" xfId="2141" xr:uid="{00000000-0005-0000-0000-000062080000}"/>
    <cellStyle name="Примечание 2 8 2 6 3" xfId="2142" xr:uid="{00000000-0005-0000-0000-000063080000}"/>
    <cellStyle name="Примечание 2 8 2 7" xfId="2143" xr:uid="{00000000-0005-0000-0000-000064080000}"/>
    <cellStyle name="Примечание 2 8 2 7 2" xfId="2144" xr:uid="{00000000-0005-0000-0000-000065080000}"/>
    <cellStyle name="Примечание 2 8 2 7 3" xfId="2145" xr:uid="{00000000-0005-0000-0000-000066080000}"/>
    <cellStyle name="Примечание 2 8 2 8" xfId="2146" xr:uid="{00000000-0005-0000-0000-000067080000}"/>
    <cellStyle name="Примечание 2 8 2 9" xfId="2147" xr:uid="{00000000-0005-0000-0000-000068080000}"/>
    <cellStyle name="Примечание 2 8 3" xfId="2148" xr:uid="{00000000-0005-0000-0000-000069080000}"/>
    <cellStyle name="Примечание 2 8 3 2" xfId="2149" xr:uid="{00000000-0005-0000-0000-00006A080000}"/>
    <cellStyle name="Примечание 2 8 3 2 2" xfId="2150" xr:uid="{00000000-0005-0000-0000-00006B080000}"/>
    <cellStyle name="Примечание 2 8 3 2 2 2" xfId="2151" xr:uid="{00000000-0005-0000-0000-00006C080000}"/>
    <cellStyle name="Примечание 2 8 3 2 2 3" xfId="2152" xr:uid="{00000000-0005-0000-0000-00006D080000}"/>
    <cellStyle name="Примечание 2 8 3 2 3" xfId="2153" xr:uid="{00000000-0005-0000-0000-00006E080000}"/>
    <cellStyle name="Примечание 2 8 3 2 3 2" xfId="2154" xr:uid="{00000000-0005-0000-0000-00006F080000}"/>
    <cellStyle name="Примечание 2 8 3 2 3 3" xfId="2155" xr:uid="{00000000-0005-0000-0000-000070080000}"/>
    <cellStyle name="Примечание 2 8 3 2 4" xfId="2156" xr:uid="{00000000-0005-0000-0000-000071080000}"/>
    <cellStyle name="Примечание 2 8 3 2 4 2" xfId="2157" xr:uid="{00000000-0005-0000-0000-000072080000}"/>
    <cellStyle name="Примечание 2 8 3 2 4 3" xfId="2158" xr:uid="{00000000-0005-0000-0000-000073080000}"/>
    <cellStyle name="Примечание 2 8 3 2 5" xfId="2159" xr:uid="{00000000-0005-0000-0000-000074080000}"/>
    <cellStyle name="Примечание 2 8 3 2 6" xfId="2160" xr:uid="{00000000-0005-0000-0000-000075080000}"/>
    <cellStyle name="Примечание 2 8 3 3" xfId="2161" xr:uid="{00000000-0005-0000-0000-000076080000}"/>
    <cellStyle name="Примечание 2 8 3 3 2" xfId="2162" xr:uid="{00000000-0005-0000-0000-000077080000}"/>
    <cellStyle name="Примечание 2 8 3 3 2 2" xfId="2163" xr:uid="{00000000-0005-0000-0000-000078080000}"/>
    <cellStyle name="Примечание 2 8 3 3 2 3" xfId="2164" xr:uid="{00000000-0005-0000-0000-000079080000}"/>
    <cellStyle name="Примечание 2 8 3 3 3" xfId="2165" xr:uid="{00000000-0005-0000-0000-00007A080000}"/>
    <cellStyle name="Примечание 2 8 3 3 3 2" xfId="2166" xr:uid="{00000000-0005-0000-0000-00007B080000}"/>
    <cellStyle name="Примечание 2 8 3 3 3 3" xfId="2167" xr:uid="{00000000-0005-0000-0000-00007C080000}"/>
    <cellStyle name="Примечание 2 8 3 3 4" xfId="2168" xr:uid="{00000000-0005-0000-0000-00007D080000}"/>
    <cellStyle name="Примечание 2 8 3 3 4 2" xfId="2169" xr:uid="{00000000-0005-0000-0000-00007E080000}"/>
    <cellStyle name="Примечание 2 8 3 3 4 3" xfId="2170" xr:uid="{00000000-0005-0000-0000-00007F080000}"/>
    <cellStyle name="Примечание 2 8 3 3 5" xfId="2171" xr:uid="{00000000-0005-0000-0000-000080080000}"/>
    <cellStyle name="Примечание 2 8 3 3 6" xfId="2172" xr:uid="{00000000-0005-0000-0000-000081080000}"/>
    <cellStyle name="Примечание 2 8 3 4" xfId="2173" xr:uid="{00000000-0005-0000-0000-000082080000}"/>
    <cellStyle name="Примечание 2 8 3 4 2" xfId="2174" xr:uid="{00000000-0005-0000-0000-000083080000}"/>
    <cellStyle name="Примечание 2 8 3 4 2 2" xfId="2175" xr:uid="{00000000-0005-0000-0000-000084080000}"/>
    <cellStyle name="Примечание 2 8 3 4 2 3" xfId="2176" xr:uid="{00000000-0005-0000-0000-000085080000}"/>
    <cellStyle name="Примечание 2 8 3 4 3" xfId="2177" xr:uid="{00000000-0005-0000-0000-000086080000}"/>
    <cellStyle name="Примечание 2 8 3 4 3 2" xfId="2178" xr:uid="{00000000-0005-0000-0000-000087080000}"/>
    <cellStyle name="Примечание 2 8 3 4 3 3" xfId="2179" xr:uid="{00000000-0005-0000-0000-000088080000}"/>
    <cellStyle name="Примечание 2 8 3 4 4" xfId="2180" xr:uid="{00000000-0005-0000-0000-000089080000}"/>
    <cellStyle name="Примечание 2 8 3 4 4 2" xfId="2181" xr:uid="{00000000-0005-0000-0000-00008A080000}"/>
    <cellStyle name="Примечание 2 8 3 4 4 3" xfId="2182" xr:uid="{00000000-0005-0000-0000-00008B080000}"/>
    <cellStyle name="Примечание 2 8 3 4 5" xfId="2183" xr:uid="{00000000-0005-0000-0000-00008C080000}"/>
    <cellStyle name="Примечание 2 8 3 4 6" xfId="2184" xr:uid="{00000000-0005-0000-0000-00008D080000}"/>
    <cellStyle name="Примечание 2 8 3 5" xfId="2185" xr:uid="{00000000-0005-0000-0000-00008E080000}"/>
    <cellStyle name="Примечание 2 8 3 5 2" xfId="2186" xr:uid="{00000000-0005-0000-0000-00008F080000}"/>
    <cellStyle name="Примечание 2 8 3 5 3" xfId="2187" xr:uid="{00000000-0005-0000-0000-000090080000}"/>
    <cellStyle name="Примечание 2 8 3 6" xfId="2188" xr:uid="{00000000-0005-0000-0000-000091080000}"/>
    <cellStyle name="Примечание 2 8 3 6 2" xfId="2189" xr:uid="{00000000-0005-0000-0000-000092080000}"/>
    <cellStyle name="Примечание 2 8 3 6 3" xfId="2190" xr:uid="{00000000-0005-0000-0000-000093080000}"/>
    <cellStyle name="Примечание 2 8 3 7" xfId="2191" xr:uid="{00000000-0005-0000-0000-000094080000}"/>
    <cellStyle name="Примечание 2 8 3 7 2" xfId="2192" xr:uid="{00000000-0005-0000-0000-000095080000}"/>
    <cellStyle name="Примечание 2 8 3 7 3" xfId="2193" xr:uid="{00000000-0005-0000-0000-000096080000}"/>
    <cellStyle name="Примечание 2 8 3 8" xfId="2194" xr:uid="{00000000-0005-0000-0000-000097080000}"/>
    <cellStyle name="Примечание 2 8 3 9" xfId="2195" xr:uid="{00000000-0005-0000-0000-000098080000}"/>
    <cellStyle name="Примечание 2 8 4" xfId="2196" xr:uid="{00000000-0005-0000-0000-000099080000}"/>
    <cellStyle name="Примечание 2 8 4 2" xfId="2197" xr:uid="{00000000-0005-0000-0000-00009A080000}"/>
    <cellStyle name="Примечание 2 8 4 2 2" xfId="2198" xr:uid="{00000000-0005-0000-0000-00009B080000}"/>
    <cellStyle name="Примечание 2 8 4 2 2 2" xfId="2199" xr:uid="{00000000-0005-0000-0000-00009C080000}"/>
    <cellStyle name="Примечание 2 8 4 2 2 3" xfId="2200" xr:uid="{00000000-0005-0000-0000-00009D080000}"/>
    <cellStyle name="Примечание 2 8 4 2 3" xfId="2201" xr:uid="{00000000-0005-0000-0000-00009E080000}"/>
    <cellStyle name="Примечание 2 8 4 2 3 2" xfId="2202" xr:uid="{00000000-0005-0000-0000-00009F080000}"/>
    <cellStyle name="Примечание 2 8 4 2 3 3" xfId="2203" xr:uid="{00000000-0005-0000-0000-0000A0080000}"/>
    <cellStyle name="Примечание 2 8 4 2 4" xfId="2204" xr:uid="{00000000-0005-0000-0000-0000A1080000}"/>
    <cellStyle name="Примечание 2 8 4 2 4 2" xfId="2205" xr:uid="{00000000-0005-0000-0000-0000A2080000}"/>
    <cellStyle name="Примечание 2 8 4 2 4 3" xfId="2206" xr:uid="{00000000-0005-0000-0000-0000A3080000}"/>
    <cellStyle name="Примечание 2 8 4 2 5" xfId="2207" xr:uid="{00000000-0005-0000-0000-0000A4080000}"/>
    <cellStyle name="Примечание 2 8 4 2 6" xfId="2208" xr:uid="{00000000-0005-0000-0000-0000A5080000}"/>
    <cellStyle name="Примечание 2 8 4 3" xfId="2209" xr:uid="{00000000-0005-0000-0000-0000A6080000}"/>
    <cellStyle name="Примечание 2 8 4 3 2" xfId="2210" xr:uid="{00000000-0005-0000-0000-0000A7080000}"/>
    <cellStyle name="Примечание 2 8 4 3 2 2" xfId="2211" xr:uid="{00000000-0005-0000-0000-0000A8080000}"/>
    <cellStyle name="Примечание 2 8 4 3 2 3" xfId="2212" xr:uid="{00000000-0005-0000-0000-0000A9080000}"/>
    <cellStyle name="Примечание 2 8 4 3 3" xfId="2213" xr:uid="{00000000-0005-0000-0000-0000AA080000}"/>
    <cellStyle name="Примечание 2 8 4 3 3 2" xfId="2214" xr:uid="{00000000-0005-0000-0000-0000AB080000}"/>
    <cellStyle name="Примечание 2 8 4 3 3 3" xfId="2215" xr:uid="{00000000-0005-0000-0000-0000AC080000}"/>
    <cellStyle name="Примечание 2 8 4 3 4" xfId="2216" xr:uid="{00000000-0005-0000-0000-0000AD080000}"/>
    <cellStyle name="Примечание 2 8 4 3 4 2" xfId="2217" xr:uid="{00000000-0005-0000-0000-0000AE080000}"/>
    <cellStyle name="Примечание 2 8 4 3 4 3" xfId="2218" xr:uid="{00000000-0005-0000-0000-0000AF080000}"/>
    <cellStyle name="Примечание 2 8 4 3 5" xfId="2219" xr:uid="{00000000-0005-0000-0000-0000B0080000}"/>
    <cellStyle name="Примечание 2 8 4 3 6" xfId="2220" xr:uid="{00000000-0005-0000-0000-0000B1080000}"/>
    <cellStyle name="Примечание 2 8 4 4" xfId="2221" xr:uid="{00000000-0005-0000-0000-0000B2080000}"/>
    <cellStyle name="Примечание 2 8 4 4 2" xfId="2222" xr:uid="{00000000-0005-0000-0000-0000B3080000}"/>
    <cellStyle name="Примечание 2 8 4 4 2 2" xfId="2223" xr:uid="{00000000-0005-0000-0000-0000B4080000}"/>
    <cellStyle name="Примечание 2 8 4 4 2 3" xfId="2224" xr:uid="{00000000-0005-0000-0000-0000B5080000}"/>
    <cellStyle name="Примечание 2 8 4 4 3" xfId="2225" xr:uid="{00000000-0005-0000-0000-0000B6080000}"/>
    <cellStyle name="Примечание 2 8 4 4 3 2" xfId="2226" xr:uid="{00000000-0005-0000-0000-0000B7080000}"/>
    <cellStyle name="Примечание 2 8 4 4 3 3" xfId="2227" xr:uid="{00000000-0005-0000-0000-0000B8080000}"/>
    <cellStyle name="Примечание 2 8 4 4 4" xfId="2228" xr:uid="{00000000-0005-0000-0000-0000B9080000}"/>
    <cellStyle name="Примечание 2 8 4 4 4 2" xfId="2229" xr:uid="{00000000-0005-0000-0000-0000BA080000}"/>
    <cellStyle name="Примечание 2 8 4 4 4 3" xfId="2230" xr:uid="{00000000-0005-0000-0000-0000BB080000}"/>
    <cellStyle name="Примечание 2 8 4 4 5" xfId="2231" xr:uid="{00000000-0005-0000-0000-0000BC080000}"/>
    <cellStyle name="Примечание 2 8 4 4 6" xfId="2232" xr:uid="{00000000-0005-0000-0000-0000BD080000}"/>
    <cellStyle name="Примечание 2 8 4 5" xfId="2233" xr:uid="{00000000-0005-0000-0000-0000BE080000}"/>
    <cellStyle name="Примечание 2 8 4 5 2" xfId="2234" xr:uid="{00000000-0005-0000-0000-0000BF080000}"/>
    <cellStyle name="Примечание 2 8 4 5 3" xfId="2235" xr:uid="{00000000-0005-0000-0000-0000C0080000}"/>
    <cellStyle name="Примечание 2 8 4 6" xfId="2236" xr:uid="{00000000-0005-0000-0000-0000C1080000}"/>
    <cellStyle name="Примечание 2 8 4 6 2" xfId="2237" xr:uid="{00000000-0005-0000-0000-0000C2080000}"/>
    <cellStyle name="Примечание 2 8 4 6 3" xfId="2238" xr:uid="{00000000-0005-0000-0000-0000C3080000}"/>
    <cellStyle name="Примечание 2 8 4 7" xfId="2239" xr:uid="{00000000-0005-0000-0000-0000C4080000}"/>
    <cellStyle name="Примечание 2 8 4 7 2" xfId="2240" xr:uid="{00000000-0005-0000-0000-0000C5080000}"/>
    <cellStyle name="Примечание 2 8 4 7 3" xfId="2241" xr:uid="{00000000-0005-0000-0000-0000C6080000}"/>
    <cellStyle name="Примечание 2 8 4 8" xfId="2242" xr:uid="{00000000-0005-0000-0000-0000C7080000}"/>
    <cellStyle name="Примечание 2 8 4 9" xfId="2243" xr:uid="{00000000-0005-0000-0000-0000C8080000}"/>
    <cellStyle name="Примечание 2 8 5" xfId="2244" xr:uid="{00000000-0005-0000-0000-0000C9080000}"/>
    <cellStyle name="Примечание 2 8 5 2" xfId="2245" xr:uid="{00000000-0005-0000-0000-0000CA080000}"/>
    <cellStyle name="Примечание 2 8 5 2 2" xfId="2246" xr:uid="{00000000-0005-0000-0000-0000CB080000}"/>
    <cellStyle name="Примечание 2 8 5 2 3" xfId="2247" xr:uid="{00000000-0005-0000-0000-0000CC080000}"/>
    <cellStyle name="Примечание 2 8 5 3" xfId="2248" xr:uid="{00000000-0005-0000-0000-0000CD080000}"/>
    <cellStyle name="Примечание 2 8 5 3 2" xfId="2249" xr:uid="{00000000-0005-0000-0000-0000CE080000}"/>
    <cellStyle name="Примечание 2 8 5 3 3" xfId="2250" xr:uid="{00000000-0005-0000-0000-0000CF080000}"/>
    <cellStyle name="Примечание 2 8 5 4" xfId="2251" xr:uid="{00000000-0005-0000-0000-0000D0080000}"/>
    <cellStyle name="Примечание 2 8 5 4 2" xfId="2252" xr:uid="{00000000-0005-0000-0000-0000D1080000}"/>
    <cellStyle name="Примечание 2 8 5 4 3" xfId="2253" xr:uid="{00000000-0005-0000-0000-0000D2080000}"/>
    <cellStyle name="Примечание 2 8 5 5" xfId="2254" xr:uid="{00000000-0005-0000-0000-0000D3080000}"/>
    <cellStyle name="Примечание 2 8 5 6" xfId="2255" xr:uid="{00000000-0005-0000-0000-0000D4080000}"/>
    <cellStyle name="Примечание 2 8 6" xfId="2256" xr:uid="{00000000-0005-0000-0000-0000D5080000}"/>
    <cellStyle name="Примечание 2 8 6 2" xfId="2257" xr:uid="{00000000-0005-0000-0000-0000D6080000}"/>
    <cellStyle name="Примечание 2 8 6 2 2" xfId="2258" xr:uid="{00000000-0005-0000-0000-0000D7080000}"/>
    <cellStyle name="Примечание 2 8 6 2 3" xfId="2259" xr:uid="{00000000-0005-0000-0000-0000D8080000}"/>
    <cellStyle name="Примечание 2 8 6 3" xfId="2260" xr:uid="{00000000-0005-0000-0000-0000D9080000}"/>
    <cellStyle name="Примечание 2 8 6 3 2" xfId="2261" xr:uid="{00000000-0005-0000-0000-0000DA080000}"/>
    <cellStyle name="Примечание 2 8 6 3 3" xfId="2262" xr:uid="{00000000-0005-0000-0000-0000DB080000}"/>
    <cellStyle name="Примечание 2 8 6 4" xfId="2263" xr:uid="{00000000-0005-0000-0000-0000DC080000}"/>
    <cellStyle name="Примечание 2 8 6 4 2" xfId="2264" xr:uid="{00000000-0005-0000-0000-0000DD080000}"/>
    <cellStyle name="Примечание 2 8 6 4 3" xfId="2265" xr:uid="{00000000-0005-0000-0000-0000DE080000}"/>
    <cellStyle name="Примечание 2 8 6 5" xfId="2266" xr:uid="{00000000-0005-0000-0000-0000DF080000}"/>
    <cellStyle name="Примечание 2 8 6 6" xfId="2267" xr:uid="{00000000-0005-0000-0000-0000E0080000}"/>
    <cellStyle name="Примечание 2 8 7" xfId="2268" xr:uid="{00000000-0005-0000-0000-0000E1080000}"/>
    <cellStyle name="Примечание 2 8 7 2" xfId="2269" xr:uid="{00000000-0005-0000-0000-0000E2080000}"/>
    <cellStyle name="Примечание 2 8 7 2 2" xfId="2270" xr:uid="{00000000-0005-0000-0000-0000E3080000}"/>
    <cellStyle name="Примечание 2 8 7 2 3" xfId="2271" xr:uid="{00000000-0005-0000-0000-0000E4080000}"/>
    <cellStyle name="Примечание 2 8 7 3" xfId="2272" xr:uid="{00000000-0005-0000-0000-0000E5080000}"/>
    <cellStyle name="Примечание 2 8 7 3 2" xfId="2273" xr:uid="{00000000-0005-0000-0000-0000E6080000}"/>
    <cellStyle name="Примечание 2 8 7 3 3" xfId="2274" xr:uid="{00000000-0005-0000-0000-0000E7080000}"/>
    <cellStyle name="Примечание 2 8 7 4" xfId="2275" xr:uid="{00000000-0005-0000-0000-0000E8080000}"/>
    <cellStyle name="Примечание 2 8 7 4 2" xfId="2276" xr:uid="{00000000-0005-0000-0000-0000E9080000}"/>
    <cellStyle name="Примечание 2 8 7 4 3" xfId="2277" xr:uid="{00000000-0005-0000-0000-0000EA080000}"/>
    <cellStyle name="Примечание 2 8 7 5" xfId="2278" xr:uid="{00000000-0005-0000-0000-0000EB080000}"/>
    <cellStyle name="Примечание 2 8 7 6" xfId="2279" xr:uid="{00000000-0005-0000-0000-0000EC080000}"/>
    <cellStyle name="Примечание 2 8 8" xfId="2280" xr:uid="{00000000-0005-0000-0000-0000ED080000}"/>
    <cellStyle name="Примечание 2 8 8 2" xfId="2281" xr:uid="{00000000-0005-0000-0000-0000EE080000}"/>
    <cellStyle name="Примечание 2 8 8 3" xfId="2282" xr:uid="{00000000-0005-0000-0000-0000EF080000}"/>
    <cellStyle name="Примечание 2 8 9" xfId="2283" xr:uid="{00000000-0005-0000-0000-0000F0080000}"/>
    <cellStyle name="Примечание 2 8 9 2" xfId="2284" xr:uid="{00000000-0005-0000-0000-0000F1080000}"/>
    <cellStyle name="Примечание 2 8 9 3" xfId="2285" xr:uid="{00000000-0005-0000-0000-0000F2080000}"/>
    <cellStyle name="Примечание 2 9" xfId="2286" xr:uid="{00000000-0005-0000-0000-0000F3080000}"/>
    <cellStyle name="Примечание 2 9 10" xfId="2287" xr:uid="{00000000-0005-0000-0000-0000F4080000}"/>
    <cellStyle name="Примечание 2 9 10 2" xfId="2288" xr:uid="{00000000-0005-0000-0000-0000F5080000}"/>
    <cellStyle name="Примечание 2 9 10 3" xfId="2289" xr:uid="{00000000-0005-0000-0000-0000F6080000}"/>
    <cellStyle name="Примечание 2 9 11" xfId="2290" xr:uid="{00000000-0005-0000-0000-0000F7080000}"/>
    <cellStyle name="Примечание 2 9 12" xfId="2291" xr:uid="{00000000-0005-0000-0000-0000F8080000}"/>
    <cellStyle name="Примечание 2 9 2" xfId="2292" xr:uid="{00000000-0005-0000-0000-0000F9080000}"/>
    <cellStyle name="Примечание 2 9 2 2" xfId="2293" xr:uid="{00000000-0005-0000-0000-0000FA080000}"/>
    <cellStyle name="Примечание 2 9 2 2 2" xfId="2294" xr:uid="{00000000-0005-0000-0000-0000FB080000}"/>
    <cellStyle name="Примечание 2 9 2 2 2 2" xfId="2295" xr:uid="{00000000-0005-0000-0000-0000FC080000}"/>
    <cellStyle name="Примечание 2 9 2 2 2 3" xfId="2296" xr:uid="{00000000-0005-0000-0000-0000FD080000}"/>
    <cellStyle name="Примечание 2 9 2 2 3" xfId="2297" xr:uid="{00000000-0005-0000-0000-0000FE080000}"/>
    <cellStyle name="Примечание 2 9 2 2 3 2" xfId="2298" xr:uid="{00000000-0005-0000-0000-0000FF080000}"/>
    <cellStyle name="Примечание 2 9 2 2 3 3" xfId="2299" xr:uid="{00000000-0005-0000-0000-000000090000}"/>
    <cellStyle name="Примечание 2 9 2 2 4" xfId="2300" xr:uid="{00000000-0005-0000-0000-000001090000}"/>
    <cellStyle name="Примечание 2 9 2 2 4 2" xfId="2301" xr:uid="{00000000-0005-0000-0000-000002090000}"/>
    <cellStyle name="Примечание 2 9 2 2 4 3" xfId="2302" xr:uid="{00000000-0005-0000-0000-000003090000}"/>
    <cellStyle name="Примечание 2 9 2 2 5" xfId="2303" xr:uid="{00000000-0005-0000-0000-000004090000}"/>
    <cellStyle name="Примечание 2 9 2 2 6" xfId="2304" xr:uid="{00000000-0005-0000-0000-000005090000}"/>
    <cellStyle name="Примечание 2 9 2 3" xfId="2305" xr:uid="{00000000-0005-0000-0000-000006090000}"/>
    <cellStyle name="Примечание 2 9 2 3 2" xfId="2306" xr:uid="{00000000-0005-0000-0000-000007090000}"/>
    <cellStyle name="Примечание 2 9 2 3 2 2" xfId="2307" xr:uid="{00000000-0005-0000-0000-000008090000}"/>
    <cellStyle name="Примечание 2 9 2 3 2 3" xfId="2308" xr:uid="{00000000-0005-0000-0000-000009090000}"/>
    <cellStyle name="Примечание 2 9 2 3 3" xfId="2309" xr:uid="{00000000-0005-0000-0000-00000A090000}"/>
    <cellStyle name="Примечание 2 9 2 3 3 2" xfId="2310" xr:uid="{00000000-0005-0000-0000-00000B090000}"/>
    <cellStyle name="Примечание 2 9 2 3 3 3" xfId="2311" xr:uid="{00000000-0005-0000-0000-00000C090000}"/>
    <cellStyle name="Примечание 2 9 2 3 4" xfId="2312" xr:uid="{00000000-0005-0000-0000-00000D090000}"/>
    <cellStyle name="Примечание 2 9 2 3 4 2" xfId="2313" xr:uid="{00000000-0005-0000-0000-00000E090000}"/>
    <cellStyle name="Примечание 2 9 2 3 4 3" xfId="2314" xr:uid="{00000000-0005-0000-0000-00000F090000}"/>
    <cellStyle name="Примечание 2 9 2 3 5" xfId="2315" xr:uid="{00000000-0005-0000-0000-000010090000}"/>
    <cellStyle name="Примечание 2 9 2 3 6" xfId="2316" xr:uid="{00000000-0005-0000-0000-000011090000}"/>
    <cellStyle name="Примечание 2 9 2 4" xfId="2317" xr:uid="{00000000-0005-0000-0000-000012090000}"/>
    <cellStyle name="Примечание 2 9 2 4 2" xfId="2318" xr:uid="{00000000-0005-0000-0000-000013090000}"/>
    <cellStyle name="Примечание 2 9 2 4 2 2" xfId="2319" xr:uid="{00000000-0005-0000-0000-000014090000}"/>
    <cellStyle name="Примечание 2 9 2 4 2 3" xfId="2320" xr:uid="{00000000-0005-0000-0000-000015090000}"/>
    <cellStyle name="Примечание 2 9 2 4 3" xfId="2321" xr:uid="{00000000-0005-0000-0000-000016090000}"/>
    <cellStyle name="Примечание 2 9 2 4 3 2" xfId="2322" xr:uid="{00000000-0005-0000-0000-000017090000}"/>
    <cellStyle name="Примечание 2 9 2 4 3 3" xfId="2323" xr:uid="{00000000-0005-0000-0000-000018090000}"/>
    <cellStyle name="Примечание 2 9 2 4 4" xfId="2324" xr:uid="{00000000-0005-0000-0000-000019090000}"/>
    <cellStyle name="Примечание 2 9 2 4 4 2" xfId="2325" xr:uid="{00000000-0005-0000-0000-00001A090000}"/>
    <cellStyle name="Примечание 2 9 2 4 4 3" xfId="2326" xr:uid="{00000000-0005-0000-0000-00001B090000}"/>
    <cellStyle name="Примечание 2 9 2 4 5" xfId="2327" xr:uid="{00000000-0005-0000-0000-00001C090000}"/>
    <cellStyle name="Примечание 2 9 2 4 6" xfId="2328" xr:uid="{00000000-0005-0000-0000-00001D090000}"/>
    <cellStyle name="Примечание 2 9 2 5" xfId="2329" xr:uid="{00000000-0005-0000-0000-00001E090000}"/>
    <cellStyle name="Примечание 2 9 2 5 2" xfId="2330" xr:uid="{00000000-0005-0000-0000-00001F090000}"/>
    <cellStyle name="Примечание 2 9 2 5 3" xfId="2331" xr:uid="{00000000-0005-0000-0000-000020090000}"/>
    <cellStyle name="Примечание 2 9 2 6" xfId="2332" xr:uid="{00000000-0005-0000-0000-000021090000}"/>
    <cellStyle name="Примечание 2 9 2 6 2" xfId="2333" xr:uid="{00000000-0005-0000-0000-000022090000}"/>
    <cellStyle name="Примечание 2 9 2 6 3" xfId="2334" xr:uid="{00000000-0005-0000-0000-000023090000}"/>
    <cellStyle name="Примечание 2 9 2 7" xfId="2335" xr:uid="{00000000-0005-0000-0000-000024090000}"/>
    <cellStyle name="Примечание 2 9 2 7 2" xfId="2336" xr:uid="{00000000-0005-0000-0000-000025090000}"/>
    <cellStyle name="Примечание 2 9 2 7 3" xfId="2337" xr:uid="{00000000-0005-0000-0000-000026090000}"/>
    <cellStyle name="Примечание 2 9 2 8" xfId="2338" xr:uid="{00000000-0005-0000-0000-000027090000}"/>
    <cellStyle name="Примечание 2 9 2 9" xfId="2339" xr:uid="{00000000-0005-0000-0000-000028090000}"/>
    <cellStyle name="Примечание 2 9 3" xfId="2340" xr:uid="{00000000-0005-0000-0000-000029090000}"/>
    <cellStyle name="Примечание 2 9 3 2" xfId="2341" xr:uid="{00000000-0005-0000-0000-00002A090000}"/>
    <cellStyle name="Примечание 2 9 3 2 2" xfId="2342" xr:uid="{00000000-0005-0000-0000-00002B090000}"/>
    <cellStyle name="Примечание 2 9 3 2 2 2" xfId="2343" xr:uid="{00000000-0005-0000-0000-00002C090000}"/>
    <cellStyle name="Примечание 2 9 3 2 2 3" xfId="2344" xr:uid="{00000000-0005-0000-0000-00002D090000}"/>
    <cellStyle name="Примечание 2 9 3 2 3" xfId="2345" xr:uid="{00000000-0005-0000-0000-00002E090000}"/>
    <cellStyle name="Примечание 2 9 3 2 3 2" xfId="2346" xr:uid="{00000000-0005-0000-0000-00002F090000}"/>
    <cellStyle name="Примечание 2 9 3 2 3 3" xfId="2347" xr:uid="{00000000-0005-0000-0000-000030090000}"/>
    <cellStyle name="Примечание 2 9 3 2 4" xfId="2348" xr:uid="{00000000-0005-0000-0000-000031090000}"/>
    <cellStyle name="Примечание 2 9 3 2 4 2" xfId="2349" xr:uid="{00000000-0005-0000-0000-000032090000}"/>
    <cellStyle name="Примечание 2 9 3 2 4 3" xfId="2350" xr:uid="{00000000-0005-0000-0000-000033090000}"/>
    <cellStyle name="Примечание 2 9 3 2 5" xfId="2351" xr:uid="{00000000-0005-0000-0000-000034090000}"/>
    <cellStyle name="Примечание 2 9 3 2 6" xfId="2352" xr:uid="{00000000-0005-0000-0000-000035090000}"/>
    <cellStyle name="Примечание 2 9 3 3" xfId="2353" xr:uid="{00000000-0005-0000-0000-000036090000}"/>
    <cellStyle name="Примечание 2 9 3 3 2" xfId="2354" xr:uid="{00000000-0005-0000-0000-000037090000}"/>
    <cellStyle name="Примечание 2 9 3 3 2 2" xfId="2355" xr:uid="{00000000-0005-0000-0000-000038090000}"/>
    <cellStyle name="Примечание 2 9 3 3 2 3" xfId="2356" xr:uid="{00000000-0005-0000-0000-000039090000}"/>
    <cellStyle name="Примечание 2 9 3 3 3" xfId="2357" xr:uid="{00000000-0005-0000-0000-00003A090000}"/>
    <cellStyle name="Примечание 2 9 3 3 3 2" xfId="2358" xr:uid="{00000000-0005-0000-0000-00003B090000}"/>
    <cellStyle name="Примечание 2 9 3 3 3 3" xfId="2359" xr:uid="{00000000-0005-0000-0000-00003C090000}"/>
    <cellStyle name="Примечание 2 9 3 3 4" xfId="2360" xr:uid="{00000000-0005-0000-0000-00003D090000}"/>
    <cellStyle name="Примечание 2 9 3 3 4 2" xfId="2361" xr:uid="{00000000-0005-0000-0000-00003E090000}"/>
    <cellStyle name="Примечание 2 9 3 3 4 3" xfId="2362" xr:uid="{00000000-0005-0000-0000-00003F090000}"/>
    <cellStyle name="Примечание 2 9 3 3 5" xfId="2363" xr:uid="{00000000-0005-0000-0000-000040090000}"/>
    <cellStyle name="Примечание 2 9 3 3 6" xfId="2364" xr:uid="{00000000-0005-0000-0000-000041090000}"/>
    <cellStyle name="Примечание 2 9 3 4" xfId="2365" xr:uid="{00000000-0005-0000-0000-000042090000}"/>
    <cellStyle name="Примечание 2 9 3 4 2" xfId="2366" xr:uid="{00000000-0005-0000-0000-000043090000}"/>
    <cellStyle name="Примечание 2 9 3 4 2 2" xfId="2367" xr:uid="{00000000-0005-0000-0000-000044090000}"/>
    <cellStyle name="Примечание 2 9 3 4 2 3" xfId="2368" xr:uid="{00000000-0005-0000-0000-000045090000}"/>
    <cellStyle name="Примечание 2 9 3 4 3" xfId="2369" xr:uid="{00000000-0005-0000-0000-000046090000}"/>
    <cellStyle name="Примечание 2 9 3 4 3 2" xfId="2370" xr:uid="{00000000-0005-0000-0000-000047090000}"/>
    <cellStyle name="Примечание 2 9 3 4 3 3" xfId="2371" xr:uid="{00000000-0005-0000-0000-000048090000}"/>
    <cellStyle name="Примечание 2 9 3 4 4" xfId="2372" xr:uid="{00000000-0005-0000-0000-000049090000}"/>
    <cellStyle name="Примечание 2 9 3 4 4 2" xfId="2373" xr:uid="{00000000-0005-0000-0000-00004A090000}"/>
    <cellStyle name="Примечание 2 9 3 4 4 3" xfId="2374" xr:uid="{00000000-0005-0000-0000-00004B090000}"/>
    <cellStyle name="Примечание 2 9 3 4 5" xfId="2375" xr:uid="{00000000-0005-0000-0000-00004C090000}"/>
    <cellStyle name="Примечание 2 9 3 4 6" xfId="2376" xr:uid="{00000000-0005-0000-0000-00004D090000}"/>
    <cellStyle name="Примечание 2 9 3 5" xfId="2377" xr:uid="{00000000-0005-0000-0000-00004E090000}"/>
    <cellStyle name="Примечание 2 9 3 5 2" xfId="2378" xr:uid="{00000000-0005-0000-0000-00004F090000}"/>
    <cellStyle name="Примечание 2 9 3 5 3" xfId="2379" xr:uid="{00000000-0005-0000-0000-000050090000}"/>
    <cellStyle name="Примечание 2 9 3 6" xfId="2380" xr:uid="{00000000-0005-0000-0000-000051090000}"/>
    <cellStyle name="Примечание 2 9 3 6 2" xfId="2381" xr:uid="{00000000-0005-0000-0000-000052090000}"/>
    <cellStyle name="Примечание 2 9 3 6 3" xfId="2382" xr:uid="{00000000-0005-0000-0000-000053090000}"/>
    <cellStyle name="Примечание 2 9 3 7" xfId="2383" xr:uid="{00000000-0005-0000-0000-000054090000}"/>
    <cellStyle name="Примечание 2 9 3 7 2" xfId="2384" xr:uid="{00000000-0005-0000-0000-000055090000}"/>
    <cellStyle name="Примечание 2 9 3 7 3" xfId="2385" xr:uid="{00000000-0005-0000-0000-000056090000}"/>
    <cellStyle name="Примечание 2 9 3 8" xfId="2386" xr:uid="{00000000-0005-0000-0000-000057090000}"/>
    <cellStyle name="Примечание 2 9 3 9" xfId="2387" xr:uid="{00000000-0005-0000-0000-000058090000}"/>
    <cellStyle name="Примечание 2 9 4" xfId="2388" xr:uid="{00000000-0005-0000-0000-000059090000}"/>
    <cellStyle name="Примечание 2 9 4 2" xfId="2389" xr:uid="{00000000-0005-0000-0000-00005A090000}"/>
    <cellStyle name="Примечание 2 9 4 2 2" xfId="2390" xr:uid="{00000000-0005-0000-0000-00005B090000}"/>
    <cellStyle name="Примечание 2 9 4 2 2 2" xfId="2391" xr:uid="{00000000-0005-0000-0000-00005C090000}"/>
    <cellStyle name="Примечание 2 9 4 2 2 3" xfId="2392" xr:uid="{00000000-0005-0000-0000-00005D090000}"/>
    <cellStyle name="Примечание 2 9 4 2 3" xfId="2393" xr:uid="{00000000-0005-0000-0000-00005E090000}"/>
    <cellStyle name="Примечание 2 9 4 2 3 2" xfId="2394" xr:uid="{00000000-0005-0000-0000-00005F090000}"/>
    <cellStyle name="Примечание 2 9 4 2 3 3" xfId="2395" xr:uid="{00000000-0005-0000-0000-000060090000}"/>
    <cellStyle name="Примечание 2 9 4 2 4" xfId="2396" xr:uid="{00000000-0005-0000-0000-000061090000}"/>
    <cellStyle name="Примечание 2 9 4 2 4 2" xfId="2397" xr:uid="{00000000-0005-0000-0000-000062090000}"/>
    <cellStyle name="Примечание 2 9 4 2 4 3" xfId="2398" xr:uid="{00000000-0005-0000-0000-000063090000}"/>
    <cellStyle name="Примечание 2 9 4 2 5" xfId="2399" xr:uid="{00000000-0005-0000-0000-000064090000}"/>
    <cellStyle name="Примечание 2 9 4 2 6" xfId="2400" xr:uid="{00000000-0005-0000-0000-000065090000}"/>
    <cellStyle name="Примечание 2 9 4 3" xfId="2401" xr:uid="{00000000-0005-0000-0000-000066090000}"/>
    <cellStyle name="Примечание 2 9 4 3 2" xfId="2402" xr:uid="{00000000-0005-0000-0000-000067090000}"/>
    <cellStyle name="Примечание 2 9 4 3 2 2" xfId="2403" xr:uid="{00000000-0005-0000-0000-000068090000}"/>
    <cellStyle name="Примечание 2 9 4 3 2 3" xfId="2404" xr:uid="{00000000-0005-0000-0000-000069090000}"/>
    <cellStyle name="Примечание 2 9 4 3 3" xfId="2405" xr:uid="{00000000-0005-0000-0000-00006A090000}"/>
    <cellStyle name="Примечание 2 9 4 3 3 2" xfId="2406" xr:uid="{00000000-0005-0000-0000-00006B090000}"/>
    <cellStyle name="Примечание 2 9 4 3 3 3" xfId="2407" xr:uid="{00000000-0005-0000-0000-00006C090000}"/>
    <cellStyle name="Примечание 2 9 4 3 4" xfId="2408" xr:uid="{00000000-0005-0000-0000-00006D090000}"/>
    <cellStyle name="Примечание 2 9 4 3 4 2" xfId="2409" xr:uid="{00000000-0005-0000-0000-00006E090000}"/>
    <cellStyle name="Примечание 2 9 4 3 4 3" xfId="2410" xr:uid="{00000000-0005-0000-0000-00006F090000}"/>
    <cellStyle name="Примечание 2 9 4 3 5" xfId="2411" xr:uid="{00000000-0005-0000-0000-000070090000}"/>
    <cellStyle name="Примечание 2 9 4 3 6" xfId="2412" xr:uid="{00000000-0005-0000-0000-000071090000}"/>
    <cellStyle name="Примечание 2 9 4 4" xfId="2413" xr:uid="{00000000-0005-0000-0000-000072090000}"/>
    <cellStyle name="Примечание 2 9 4 4 2" xfId="2414" xr:uid="{00000000-0005-0000-0000-000073090000}"/>
    <cellStyle name="Примечание 2 9 4 4 2 2" xfId="2415" xr:uid="{00000000-0005-0000-0000-000074090000}"/>
    <cellStyle name="Примечание 2 9 4 4 2 3" xfId="2416" xr:uid="{00000000-0005-0000-0000-000075090000}"/>
    <cellStyle name="Примечание 2 9 4 4 3" xfId="2417" xr:uid="{00000000-0005-0000-0000-000076090000}"/>
    <cellStyle name="Примечание 2 9 4 4 3 2" xfId="2418" xr:uid="{00000000-0005-0000-0000-000077090000}"/>
    <cellStyle name="Примечание 2 9 4 4 3 3" xfId="2419" xr:uid="{00000000-0005-0000-0000-000078090000}"/>
    <cellStyle name="Примечание 2 9 4 4 4" xfId="2420" xr:uid="{00000000-0005-0000-0000-000079090000}"/>
    <cellStyle name="Примечание 2 9 4 4 4 2" xfId="2421" xr:uid="{00000000-0005-0000-0000-00007A090000}"/>
    <cellStyle name="Примечание 2 9 4 4 4 3" xfId="2422" xr:uid="{00000000-0005-0000-0000-00007B090000}"/>
    <cellStyle name="Примечание 2 9 4 4 5" xfId="2423" xr:uid="{00000000-0005-0000-0000-00007C090000}"/>
    <cellStyle name="Примечание 2 9 4 4 6" xfId="2424" xr:uid="{00000000-0005-0000-0000-00007D090000}"/>
    <cellStyle name="Примечание 2 9 4 5" xfId="2425" xr:uid="{00000000-0005-0000-0000-00007E090000}"/>
    <cellStyle name="Примечание 2 9 4 5 2" xfId="2426" xr:uid="{00000000-0005-0000-0000-00007F090000}"/>
    <cellStyle name="Примечание 2 9 4 5 3" xfId="2427" xr:uid="{00000000-0005-0000-0000-000080090000}"/>
    <cellStyle name="Примечание 2 9 4 6" xfId="2428" xr:uid="{00000000-0005-0000-0000-000081090000}"/>
    <cellStyle name="Примечание 2 9 4 6 2" xfId="2429" xr:uid="{00000000-0005-0000-0000-000082090000}"/>
    <cellStyle name="Примечание 2 9 4 6 3" xfId="2430" xr:uid="{00000000-0005-0000-0000-000083090000}"/>
    <cellStyle name="Примечание 2 9 4 7" xfId="2431" xr:uid="{00000000-0005-0000-0000-000084090000}"/>
    <cellStyle name="Примечание 2 9 4 7 2" xfId="2432" xr:uid="{00000000-0005-0000-0000-000085090000}"/>
    <cellStyle name="Примечание 2 9 4 7 3" xfId="2433" xr:uid="{00000000-0005-0000-0000-000086090000}"/>
    <cellStyle name="Примечание 2 9 4 8" xfId="2434" xr:uid="{00000000-0005-0000-0000-000087090000}"/>
    <cellStyle name="Примечание 2 9 4 9" xfId="2435" xr:uid="{00000000-0005-0000-0000-000088090000}"/>
    <cellStyle name="Примечание 2 9 5" xfId="2436" xr:uid="{00000000-0005-0000-0000-000089090000}"/>
    <cellStyle name="Примечание 2 9 5 2" xfId="2437" xr:uid="{00000000-0005-0000-0000-00008A090000}"/>
    <cellStyle name="Примечание 2 9 5 2 2" xfId="2438" xr:uid="{00000000-0005-0000-0000-00008B090000}"/>
    <cellStyle name="Примечание 2 9 5 2 3" xfId="2439" xr:uid="{00000000-0005-0000-0000-00008C090000}"/>
    <cellStyle name="Примечание 2 9 5 3" xfId="2440" xr:uid="{00000000-0005-0000-0000-00008D090000}"/>
    <cellStyle name="Примечание 2 9 5 3 2" xfId="2441" xr:uid="{00000000-0005-0000-0000-00008E090000}"/>
    <cellStyle name="Примечание 2 9 5 3 3" xfId="2442" xr:uid="{00000000-0005-0000-0000-00008F090000}"/>
    <cellStyle name="Примечание 2 9 5 4" xfId="2443" xr:uid="{00000000-0005-0000-0000-000090090000}"/>
    <cellStyle name="Примечание 2 9 5 4 2" xfId="2444" xr:uid="{00000000-0005-0000-0000-000091090000}"/>
    <cellStyle name="Примечание 2 9 5 4 3" xfId="2445" xr:uid="{00000000-0005-0000-0000-000092090000}"/>
    <cellStyle name="Примечание 2 9 5 5" xfId="2446" xr:uid="{00000000-0005-0000-0000-000093090000}"/>
    <cellStyle name="Примечание 2 9 5 6" xfId="2447" xr:uid="{00000000-0005-0000-0000-000094090000}"/>
    <cellStyle name="Примечание 2 9 6" xfId="2448" xr:uid="{00000000-0005-0000-0000-000095090000}"/>
    <cellStyle name="Примечание 2 9 6 2" xfId="2449" xr:uid="{00000000-0005-0000-0000-000096090000}"/>
    <cellStyle name="Примечание 2 9 6 2 2" xfId="2450" xr:uid="{00000000-0005-0000-0000-000097090000}"/>
    <cellStyle name="Примечание 2 9 6 2 3" xfId="2451" xr:uid="{00000000-0005-0000-0000-000098090000}"/>
    <cellStyle name="Примечание 2 9 6 3" xfId="2452" xr:uid="{00000000-0005-0000-0000-000099090000}"/>
    <cellStyle name="Примечание 2 9 6 3 2" xfId="2453" xr:uid="{00000000-0005-0000-0000-00009A090000}"/>
    <cellStyle name="Примечание 2 9 6 3 3" xfId="2454" xr:uid="{00000000-0005-0000-0000-00009B090000}"/>
    <cellStyle name="Примечание 2 9 6 4" xfId="2455" xr:uid="{00000000-0005-0000-0000-00009C090000}"/>
    <cellStyle name="Примечание 2 9 6 4 2" xfId="2456" xr:uid="{00000000-0005-0000-0000-00009D090000}"/>
    <cellStyle name="Примечание 2 9 6 4 3" xfId="2457" xr:uid="{00000000-0005-0000-0000-00009E090000}"/>
    <cellStyle name="Примечание 2 9 6 5" xfId="2458" xr:uid="{00000000-0005-0000-0000-00009F090000}"/>
    <cellStyle name="Примечание 2 9 6 6" xfId="2459" xr:uid="{00000000-0005-0000-0000-0000A0090000}"/>
    <cellStyle name="Примечание 2 9 7" xfId="2460" xr:uid="{00000000-0005-0000-0000-0000A1090000}"/>
    <cellStyle name="Примечание 2 9 7 2" xfId="2461" xr:uid="{00000000-0005-0000-0000-0000A2090000}"/>
    <cellStyle name="Примечание 2 9 7 2 2" xfId="2462" xr:uid="{00000000-0005-0000-0000-0000A3090000}"/>
    <cellStyle name="Примечание 2 9 7 2 3" xfId="2463" xr:uid="{00000000-0005-0000-0000-0000A4090000}"/>
    <cellStyle name="Примечание 2 9 7 3" xfId="2464" xr:uid="{00000000-0005-0000-0000-0000A5090000}"/>
    <cellStyle name="Примечание 2 9 7 3 2" xfId="2465" xr:uid="{00000000-0005-0000-0000-0000A6090000}"/>
    <cellStyle name="Примечание 2 9 7 3 3" xfId="2466" xr:uid="{00000000-0005-0000-0000-0000A7090000}"/>
    <cellStyle name="Примечание 2 9 7 4" xfId="2467" xr:uid="{00000000-0005-0000-0000-0000A8090000}"/>
    <cellStyle name="Примечание 2 9 7 4 2" xfId="2468" xr:uid="{00000000-0005-0000-0000-0000A9090000}"/>
    <cellStyle name="Примечание 2 9 7 4 3" xfId="2469" xr:uid="{00000000-0005-0000-0000-0000AA090000}"/>
    <cellStyle name="Примечание 2 9 7 5" xfId="2470" xr:uid="{00000000-0005-0000-0000-0000AB090000}"/>
    <cellStyle name="Примечание 2 9 7 6" xfId="2471" xr:uid="{00000000-0005-0000-0000-0000AC090000}"/>
    <cellStyle name="Примечание 2 9 8" xfId="2472" xr:uid="{00000000-0005-0000-0000-0000AD090000}"/>
    <cellStyle name="Примечание 2 9 8 2" xfId="2473" xr:uid="{00000000-0005-0000-0000-0000AE090000}"/>
    <cellStyle name="Примечание 2 9 8 3" xfId="2474" xr:uid="{00000000-0005-0000-0000-0000AF090000}"/>
    <cellStyle name="Примечание 2 9 9" xfId="2475" xr:uid="{00000000-0005-0000-0000-0000B0090000}"/>
    <cellStyle name="Примечание 2 9 9 2" xfId="2476" xr:uid="{00000000-0005-0000-0000-0000B1090000}"/>
    <cellStyle name="Примечание 2 9 9 3" xfId="2477" xr:uid="{00000000-0005-0000-0000-0000B2090000}"/>
    <cellStyle name="Примечание 3" xfId="2478" xr:uid="{00000000-0005-0000-0000-0000B3090000}"/>
    <cellStyle name="Примечание 3 10" xfId="2479" xr:uid="{00000000-0005-0000-0000-0000B4090000}"/>
    <cellStyle name="Примечание 3 10 2" xfId="2480" xr:uid="{00000000-0005-0000-0000-0000B5090000}"/>
    <cellStyle name="Примечание 3 10 3" xfId="2481" xr:uid="{00000000-0005-0000-0000-0000B6090000}"/>
    <cellStyle name="Примечание 3 11" xfId="2482" xr:uid="{00000000-0005-0000-0000-0000B7090000}"/>
    <cellStyle name="Примечание 3 12" xfId="2483" xr:uid="{00000000-0005-0000-0000-0000B8090000}"/>
    <cellStyle name="Примечание 3 2" xfId="2484" xr:uid="{00000000-0005-0000-0000-0000B9090000}"/>
    <cellStyle name="Примечание 3 2 2" xfId="2485" xr:uid="{00000000-0005-0000-0000-0000BA090000}"/>
    <cellStyle name="Примечание 3 2 2 2" xfId="2486" xr:uid="{00000000-0005-0000-0000-0000BB090000}"/>
    <cellStyle name="Примечание 3 2 2 2 2" xfId="2487" xr:uid="{00000000-0005-0000-0000-0000BC090000}"/>
    <cellStyle name="Примечание 3 2 2 2 3" xfId="2488" xr:uid="{00000000-0005-0000-0000-0000BD090000}"/>
    <cellStyle name="Примечание 3 2 2 3" xfId="2489" xr:uid="{00000000-0005-0000-0000-0000BE090000}"/>
    <cellStyle name="Примечание 3 2 2 3 2" xfId="2490" xr:uid="{00000000-0005-0000-0000-0000BF090000}"/>
    <cellStyle name="Примечание 3 2 2 3 3" xfId="2491" xr:uid="{00000000-0005-0000-0000-0000C0090000}"/>
    <cellStyle name="Примечание 3 2 2 4" xfId="2492" xr:uid="{00000000-0005-0000-0000-0000C1090000}"/>
    <cellStyle name="Примечание 3 2 2 4 2" xfId="2493" xr:uid="{00000000-0005-0000-0000-0000C2090000}"/>
    <cellStyle name="Примечание 3 2 2 4 3" xfId="2494" xr:uid="{00000000-0005-0000-0000-0000C3090000}"/>
    <cellStyle name="Примечание 3 2 2 5" xfId="2495" xr:uid="{00000000-0005-0000-0000-0000C4090000}"/>
    <cellStyle name="Примечание 3 2 2 6" xfId="2496" xr:uid="{00000000-0005-0000-0000-0000C5090000}"/>
    <cellStyle name="Примечание 3 2 3" xfId="2497" xr:uid="{00000000-0005-0000-0000-0000C6090000}"/>
    <cellStyle name="Примечание 3 2 3 2" xfId="2498" xr:uid="{00000000-0005-0000-0000-0000C7090000}"/>
    <cellStyle name="Примечание 3 2 3 2 2" xfId="2499" xr:uid="{00000000-0005-0000-0000-0000C8090000}"/>
    <cellStyle name="Примечание 3 2 3 2 3" xfId="2500" xr:uid="{00000000-0005-0000-0000-0000C9090000}"/>
    <cellStyle name="Примечание 3 2 3 3" xfId="2501" xr:uid="{00000000-0005-0000-0000-0000CA090000}"/>
    <cellStyle name="Примечание 3 2 3 3 2" xfId="2502" xr:uid="{00000000-0005-0000-0000-0000CB090000}"/>
    <cellStyle name="Примечание 3 2 3 3 3" xfId="2503" xr:uid="{00000000-0005-0000-0000-0000CC090000}"/>
    <cellStyle name="Примечание 3 2 3 4" xfId="2504" xr:uid="{00000000-0005-0000-0000-0000CD090000}"/>
    <cellStyle name="Примечание 3 2 3 4 2" xfId="2505" xr:uid="{00000000-0005-0000-0000-0000CE090000}"/>
    <cellStyle name="Примечание 3 2 3 4 3" xfId="2506" xr:uid="{00000000-0005-0000-0000-0000CF090000}"/>
    <cellStyle name="Примечание 3 2 3 5" xfId="2507" xr:uid="{00000000-0005-0000-0000-0000D0090000}"/>
    <cellStyle name="Примечание 3 2 3 6" xfId="2508" xr:uid="{00000000-0005-0000-0000-0000D1090000}"/>
    <cellStyle name="Примечание 3 2 4" xfId="2509" xr:uid="{00000000-0005-0000-0000-0000D2090000}"/>
    <cellStyle name="Примечание 3 2 4 2" xfId="2510" xr:uid="{00000000-0005-0000-0000-0000D3090000}"/>
    <cellStyle name="Примечание 3 2 4 2 2" xfId="2511" xr:uid="{00000000-0005-0000-0000-0000D4090000}"/>
    <cellStyle name="Примечание 3 2 4 2 3" xfId="2512" xr:uid="{00000000-0005-0000-0000-0000D5090000}"/>
    <cellStyle name="Примечание 3 2 4 3" xfId="2513" xr:uid="{00000000-0005-0000-0000-0000D6090000}"/>
    <cellStyle name="Примечание 3 2 4 3 2" xfId="2514" xr:uid="{00000000-0005-0000-0000-0000D7090000}"/>
    <cellStyle name="Примечание 3 2 4 3 3" xfId="2515" xr:uid="{00000000-0005-0000-0000-0000D8090000}"/>
    <cellStyle name="Примечание 3 2 4 4" xfId="2516" xr:uid="{00000000-0005-0000-0000-0000D9090000}"/>
    <cellStyle name="Примечание 3 2 4 4 2" xfId="2517" xr:uid="{00000000-0005-0000-0000-0000DA090000}"/>
    <cellStyle name="Примечание 3 2 4 4 3" xfId="2518" xr:uid="{00000000-0005-0000-0000-0000DB090000}"/>
    <cellStyle name="Примечание 3 2 4 5" xfId="2519" xr:uid="{00000000-0005-0000-0000-0000DC090000}"/>
    <cellStyle name="Примечание 3 2 4 6" xfId="2520" xr:uid="{00000000-0005-0000-0000-0000DD090000}"/>
    <cellStyle name="Примечание 3 2 5" xfId="2521" xr:uid="{00000000-0005-0000-0000-0000DE090000}"/>
    <cellStyle name="Примечание 3 2 5 2" xfId="2522" xr:uid="{00000000-0005-0000-0000-0000DF090000}"/>
    <cellStyle name="Примечание 3 2 5 3" xfId="2523" xr:uid="{00000000-0005-0000-0000-0000E0090000}"/>
    <cellStyle name="Примечание 3 2 6" xfId="2524" xr:uid="{00000000-0005-0000-0000-0000E1090000}"/>
    <cellStyle name="Примечание 3 2 6 2" xfId="2525" xr:uid="{00000000-0005-0000-0000-0000E2090000}"/>
    <cellStyle name="Примечание 3 2 6 3" xfId="2526" xr:uid="{00000000-0005-0000-0000-0000E3090000}"/>
    <cellStyle name="Примечание 3 2 7" xfId="2527" xr:uid="{00000000-0005-0000-0000-0000E4090000}"/>
    <cellStyle name="Примечание 3 2 7 2" xfId="2528" xr:uid="{00000000-0005-0000-0000-0000E5090000}"/>
    <cellStyle name="Примечание 3 2 7 3" xfId="2529" xr:uid="{00000000-0005-0000-0000-0000E6090000}"/>
    <cellStyle name="Примечание 3 2 8" xfId="2530" xr:uid="{00000000-0005-0000-0000-0000E7090000}"/>
    <cellStyle name="Примечание 3 2 9" xfId="2531" xr:uid="{00000000-0005-0000-0000-0000E8090000}"/>
    <cellStyle name="Примечание 3 3" xfId="2532" xr:uid="{00000000-0005-0000-0000-0000E9090000}"/>
    <cellStyle name="Примечание 3 3 2" xfId="2533" xr:uid="{00000000-0005-0000-0000-0000EA090000}"/>
    <cellStyle name="Примечание 3 3 2 2" xfId="2534" xr:uid="{00000000-0005-0000-0000-0000EB090000}"/>
    <cellStyle name="Примечание 3 3 2 2 2" xfId="2535" xr:uid="{00000000-0005-0000-0000-0000EC090000}"/>
    <cellStyle name="Примечание 3 3 2 2 3" xfId="2536" xr:uid="{00000000-0005-0000-0000-0000ED090000}"/>
    <cellStyle name="Примечание 3 3 2 3" xfId="2537" xr:uid="{00000000-0005-0000-0000-0000EE090000}"/>
    <cellStyle name="Примечание 3 3 2 3 2" xfId="2538" xr:uid="{00000000-0005-0000-0000-0000EF090000}"/>
    <cellStyle name="Примечание 3 3 2 3 3" xfId="2539" xr:uid="{00000000-0005-0000-0000-0000F0090000}"/>
    <cellStyle name="Примечание 3 3 2 4" xfId="2540" xr:uid="{00000000-0005-0000-0000-0000F1090000}"/>
    <cellStyle name="Примечание 3 3 2 4 2" xfId="2541" xr:uid="{00000000-0005-0000-0000-0000F2090000}"/>
    <cellStyle name="Примечание 3 3 2 4 3" xfId="2542" xr:uid="{00000000-0005-0000-0000-0000F3090000}"/>
    <cellStyle name="Примечание 3 3 2 5" xfId="2543" xr:uid="{00000000-0005-0000-0000-0000F4090000}"/>
    <cellStyle name="Примечание 3 3 2 6" xfId="2544" xr:uid="{00000000-0005-0000-0000-0000F5090000}"/>
    <cellStyle name="Примечание 3 3 3" xfId="2545" xr:uid="{00000000-0005-0000-0000-0000F6090000}"/>
    <cellStyle name="Примечание 3 3 3 2" xfId="2546" xr:uid="{00000000-0005-0000-0000-0000F7090000}"/>
    <cellStyle name="Примечание 3 3 3 2 2" xfId="2547" xr:uid="{00000000-0005-0000-0000-0000F8090000}"/>
    <cellStyle name="Примечание 3 3 3 2 3" xfId="2548" xr:uid="{00000000-0005-0000-0000-0000F9090000}"/>
    <cellStyle name="Примечание 3 3 3 3" xfId="2549" xr:uid="{00000000-0005-0000-0000-0000FA090000}"/>
    <cellStyle name="Примечание 3 3 3 3 2" xfId="2550" xr:uid="{00000000-0005-0000-0000-0000FB090000}"/>
    <cellStyle name="Примечание 3 3 3 3 3" xfId="2551" xr:uid="{00000000-0005-0000-0000-0000FC090000}"/>
    <cellStyle name="Примечание 3 3 3 4" xfId="2552" xr:uid="{00000000-0005-0000-0000-0000FD090000}"/>
    <cellStyle name="Примечание 3 3 3 4 2" xfId="2553" xr:uid="{00000000-0005-0000-0000-0000FE090000}"/>
    <cellStyle name="Примечание 3 3 3 4 3" xfId="2554" xr:uid="{00000000-0005-0000-0000-0000FF090000}"/>
    <cellStyle name="Примечание 3 3 3 5" xfId="2555" xr:uid="{00000000-0005-0000-0000-0000000A0000}"/>
    <cellStyle name="Примечание 3 3 3 6" xfId="2556" xr:uid="{00000000-0005-0000-0000-0000010A0000}"/>
    <cellStyle name="Примечание 3 3 4" xfId="2557" xr:uid="{00000000-0005-0000-0000-0000020A0000}"/>
    <cellStyle name="Примечание 3 3 4 2" xfId="2558" xr:uid="{00000000-0005-0000-0000-0000030A0000}"/>
    <cellStyle name="Примечание 3 3 4 2 2" xfId="2559" xr:uid="{00000000-0005-0000-0000-0000040A0000}"/>
    <cellStyle name="Примечание 3 3 4 2 3" xfId="2560" xr:uid="{00000000-0005-0000-0000-0000050A0000}"/>
    <cellStyle name="Примечание 3 3 4 3" xfId="2561" xr:uid="{00000000-0005-0000-0000-0000060A0000}"/>
    <cellStyle name="Примечание 3 3 4 3 2" xfId="2562" xr:uid="{00000000-0005-0000-0000-0000070A0000}"/>
    <cellStyle name="Примечание 3 3 4 3 3" xfId="2563" xr:uid="{00000000-0005-0000-0000-0000080A0000}"/>
    <cellStyle name="Примечание 3 3 4 4" xfId="2564" xr:uid="{00000000-0005-0000-0000-0000090A0000}"/>
    <cellStyle name="Примечание 3 3 4 4 2" xfId="2565" xr:uid="{00000000-0005-0000-0000-00000A0A0000}"/>
    <cellStyle name="Примечание 3 3 4 4 3" xfId="2566" xr:uid="{00000000-0005-0000-0000-00000B0A0000}"/>
    <cellStyle name="Примечание 3 3 4 5" xfId="2567" xr:uid="{00000000-0005-0000-0000-00000C0A0000}"/>
    <cellStyle name="Примечание 3 3 4 6" xfId="2568" xr:uid="{00000000-0005-0000-0000-00000D0A0000}"/>
    <cellStyle name="Примечание 3 3 5" xfId="2569" xr:uid="{00000000-0005-0000-0000-00000E0A0000}"/>
    <cellStyle name="Примечание 3 3 5 2" xfId="2570" xr:uid="{00000000-0005-0000-0000-00000F0A0000}"/>
    <cellStyle name="Примечание 3 3 5 3" xfId="2571" xr:uid="{00000000-0005-0000-0000-0000100A0000}"/>
    <cellStyle name="Примечание 3 3 6" xfId="2572" xr:uid="{00000000-0005-0000-0000-0000110A0000}"/>
    <cellStyle name="Примечание 3 3 6 2" xfId="2573" xr:uid="{00000000-0005-0000-0000-0000120A0000}"/>
    <cellStyle name="Примечание 3 3 6 3" xfId="2574" xr:uid="{00000000-0005-0000-0000-0000130A0000}"/>
    <cellStyle name="Примечание 3 3 7" xfId="2575" xr:uid="{00000000-0005-0000-0000-0000140A0000}"/>
    <cellStyle name="Примечание 3 3 7 2" xfId="2576" xr:uid="{00000000-0005-0000-0000-0000150A0000}"/>
    <cellStyle name="Примечание 3 3 7 3" xfId="2577" xr:uid="{00000000-0005-0000-0000-0000160A0000}"/>
    <cellStyle name="Примечание 3 3 8" xfId="2578" xr:uid="{00000000-0005-0000-0000-0000170A0000}"/>
    <cellStyle name="Примечание 3 3 9" xfId="2579" xr:uid="{00000000-0005-0000-0000-0000180A0000}"/>
    <cellStyle name="Примечание 3 4" xfId="2580" xr:uid="{00000000-0005-0000-0000-0000190A0000}"/>
    <cellStyle name="Примечание 3 4 2" xfId="2581" xr:uid="{00000000-0005-0000-0000-00001A0A0000}"/>
    <cellStyle name="Примечание 3 4 2 2" xfId="2582" xr:uid="{00000000-0005-0000-0000-00001B0A0000}"/>
    <cellStyle name="Примечание 3 4 2 2 2" xfId="2583" xr:uid="{00000000-0005-0000-0000-00001C0A0000}"/>
    <cellStyle name="Примечание 3 4 2 2 3" xfId="2584" xr:uid="{00000000-0005-0000-0000-00001D0A0000}"/>
    <cellStyle name="Примечание 3 4 2 3" xfId="2585" xr:uid="{00000000-0005-0000-0000-00001E0A0000}"/>
    <cellStyle name="Примечание 3 4 2 3 2" xfId="2586" xr:uid="{00000000-0005-0000-0000-00001F0A0000}"/>
    <cellStyle name="Примечание 3 4 2 3 3" xfId="2587" xr:uid="{00000000-0005-0000-0000-0000200A0000}"/>
    <cellStyle name="Примечание 3 4 2 4" xfId="2588" xr:uid="{00000000-0005-0000-0000-0000210A0000}"/>
    <cellStyle name="Примечание 3 4 2 4 2" xfId="2589" xr:uid="{00000000-0005-0000-0000-0000220A0000}"/>
    <cellStyle name="Примечание 3 4 2 4 3" xfId="2590" xr:uid="{00000000-0005-0000-0000-0000230A0000}"/>
    <cellStyle name="Примечание 3 4 2 5" xfId="2591" xr:uid="{00000000-0005-0000-0000-0000240A0000}"/>
    <cellStyle name="Примечание 3 4 2 6" xfId="2592" xr:uid="{00000000-0005-0000-0000-0000250A0000}"/>
    <cellStyle name="Примечание 3 4 3" xfId="2593" xr:uid="{00000000-0005-0000-0000-0000260A0000}"/>
    <cellStyle name="Примечание 3 4 3 2" xfId="2594" xr:uid="{00000000-0005-0000-0000-0000270A0000}"/>
    <cellStyle name="Примечание 3 4 3 2 2" xfId="2595" xr:uid="{00000000-0005-0000-0000-0000280A0000}"/>
    <cellStyle name="Примечание 3 4 3 2 3" xfId="2596" xr:uid="{00000000-0005-0000-0000-0000290A0000}"/>
    <cellStyle name="Примечание 3 4 3 3" xfId="2597" xr:uid="{00000000-0005-0000-0000-00002A0A0000}"/>
    <cellStyle name="Примечание 3 4 3 3 2" xfId="2598" xr:uid="{00000000-0005-0000-0000-00002B0A0000}"/>
    <cellStyle name="Примечание 3 4 3 3 3" xfId="2599" xr:uid="{00000000-0005-0000-0000-00002C0A0000}"/>
    <cellStyle name="Примечание 3 4 3 4" xfId="2600" xr:uid="{00000000-0005-0000-0000-00002D0A0000}"/>
    <cellStyle name="Примечание 3 4 3 4 2" xfId="2601" xr:uid="{00000000-0005-0000-0000-00002E0A0000}"/>
    <cellStyle name="Примечание 3 4 3 4 3" xfId="2602" xr:uid="{00000000-0005-0000-0000-00002F0A0000}"/>
    <cellStyle name="Примечание 3 4 3 5" xfId="2603" xr:uid="{00000000-0005-0000-0000-0000300A0000}"/>
    <cellStyle name="Примечание 3 4 3 6" xfId="2604" xr:uid="{00000000-0005-0000-0000-0000310A0000}"/>
    <cellStyle name="Примечание 3 4 4" xfId="2605" xr:uid="{00000000-0005-0000-0000-0000320A0000}"/>
    <cellStyle name="Примечание 3 4 4 2" xfId="2606" xr:uid="{00000000-0005-0000-0000-0000330A0000}"/>
    <cellStyle name="Примечание 3 4 4 2 2" xfId="2607" xr:uid="{00000000-0005-0000-0000-0000340A0000}"/>
    <cellStyle name="Примечание 3 4 4 2 3" xfId="2608" xr:uid="{00000000-0005-0000-0000-0000350A0000}"/>
    <cellStyle name="Примечание 3 4 4 3" xfId="2609" xr:uid="{00000000-0005-0000-0000-0000360A0000}"/>
    <cellStyle name="Примечание 3 4 4 3 2" xfId="2610" xr:uid="{00000000-0005-0000-0000-0000370A0000}"/>
    <cellStyle name="Примечание 3 4 4 3 3" xfId="2611" xr:uid="{00000000-0005-0000-0000-0000380A0000}"/>
    <cellStyle name="Примечание 3 4 4 4" xfId="2612" xr:uid="{00000000-0005-0000-0000-0000390A0000}"/>
    <cellStyle name="Примечание 3 4 4 4 2" xfId="2613" xr:uid="{00000000-0005-0000-0000-00003A0A0000}"/>
    <cellStyle name="Примечание 3 4 4 4 3" xfId="2614" xr:uid="{00000000-0005-0000-0000-00003B0A0000}"/>
    <cellStyle name="Примечание 3 4 4 5" xfId="2615" xr:uid="{00000000-0005-0000-0000-00003C0A0000}"/>
    <cellStyle name="Примечание 3 4 4 6" xfId="2616" xr:uid="{00000000-0005-0000-0000-00003D0A0000}"/>
    <cellStyle name="Примечание 3 4 5" xfId="2617" xr:uid="{00000000-0005-0000-0000-00003E0A0000}"/>
    <cellStyle name="Примечание 3 4 5 2" xfId="2618" xr:uid="{00000000-0005-0000-0000-00003F0A0000}"/>
    <cellStyle name="Примечание 3 4 5 3" xfId="2619" xr:uid="{00000000-0005-0000-0000-0000400A0000}"/>
    <cellStyle name="Примечание 3 4 6" xfId="2620" xr:uid="{00000000-0005-0000-0000-0000410A0000}"/>
    <cellStyle name="Примечание 3 4 6 2" xfId="2621" xr:uid="{00000000-0005-0000-0000-0000420A0000}"/>
    <cellStyle name="Примечание 3 4 6 3" xfId="2622" xr:uid="{00000000-0005-0000-0000-0000430A0000}"/>
    <cellStyle name="Примечание 3 4 7" xfId="2623" xr:uid="{00000000-0005-0000-0000-0000440A0000}"/>
    <cellStyle name="Примечание 3 4 7 2" xfId="2624" xr:uid="{00000000-0005-0000-0000-0000450A0000}"/>
    <cellStyle name="Примечание 3 4 7 3" xfId="2625" xr:uid="{00000000-0005-0000-0000-0000460A0000}"/>
    <cellStyle name="Примечание 3 4 8" xfId="2626" xr:uid="{00000000-0005-0000-0000-0000470A0000}"/>
    <cellStyle name="Примечание 3 4 9" xfId="2627" xr:uid="{00000000-0005-0000-0000-0000480A0000}"/>
    <cellStyle name="Примечание 3 5" xfId="2628" xr:uid="{00000000-0005-0000-0000-0000490A0000}"/>
    <cellStyle name="Примечание 3 5 2" xfId="2629" xr:uid="{00000000-0005-0000-0000-00004A0A0000}"/>
    <cellStyle name="Примечание 3 5 2 2" xfId="2630" xr:uid="{00000000-0005-0000-0000-00004B0A0000}"/>
    <cellStyle name="Примечание 3 5 2 3" xfId="2631" xr:uid="{00000000-0005-0000-0000-00004C0A0000}"/>
    <cellStyle name="Примечание 3 5 3" xfId="2632" xr:uid="{00000000-0005-0000-0000-00004D0A0000}"/>
    <cellStyle name="Примечание 3 5 3 2" xfId="2633" xr:uid="{00000000-0005-0000-0000-00004E0A0000}"/>
    <cellStyle name="Примечание 3 5 3 3" xfId="2634" xr:uid="{00000000-0005-0000-0000-00004F0A0000}"/>
    <cellStyle name="Примечание 3 5 4" xfId="2635" xr:uid="{00000000-0005-0000-0000-0000500A0000}"/>
    <cellStyle name="Примечание 3 5 4 2" xfId="2636" xr:uid="{00000000-0005-0000-0000-0000510A0000}"/>
    <cellStyle name="Примечание 3 5 4 3" xfId="2637" xr:uid="{00000000-0005-0000-0000-0000520A0000}"/>
    <cellStyle name="Примечание 3 5 5" xfId="2638" xr:uid="{00000000-0005-0000-0000-0000530A0000}"/>
    <cellStyle name="Примечание 3 5 6" xfId="2639" xr:uid="{00000000-0005-0000-0000-0000540A0000}"/>
    <cellStyle name="Примечание 3 6" xfId="2640" xr:uid="{00000000-0005-0000-0000-0000550A0000}"/>
    <cellStyle name="Примечание 3 6 2" xfId="2641" xr:uid="{00000000-0005-0000-0000-0000560A0000}"/>
    <cellStyle name="Примечание 3 6 2 2" xfId="2642" xr:uid="{00000000-0005-0000-0000-0000570A0000}"/>
    <cellStyle name="Примечание 3 6 2 3" xfId="2643" xr:uid="{00000000-0005-0000-0000-0000580A0000}"/>
    <cellStyle name="Примечание 3 6 3" xfId="2644" xr:uid="{00000000-0005-0000-0000-0000590A0000}"/>
    <cellStyle name="Примечание 3 6 3 2" xfId="2645" xr:uid="{00000000-0005-0000-0000-00005A0A0000}"/>
    <cellStyle name="Примечание 3 6 3 3" xfId="2646" xr:uid="{00000000-0005-0000-0000-00005B0A0000}"/>
    <cellStyle name="Примечание 3 6 4" xfId="2647" xr:uid="{00000000-0005-0000-0000-00005C0A0000}"/>
    <cellStyle name="Примечание 3 6 4 2" xfId="2648" xr:uid="{00000000-0005-0000-0000-00005D0A0000}"/>
    <cellStyle name="Примечание 3 6 4 3" xfId="2649" xr:uid="{00000000-0005-0000-0000-00005E0A0000}"/>
    <cellStyle name="Примечание 3 6 5" xfId="2650" xr:uid="{00000000-0005-0000-0000-00005F0A0000}"/>
    <cellStyle name="Примечание 3 6 6" xfId="2651" xr:uid="{00000000-0005-0000-0000-0000600A0000}"/>
    <cellStyle name="Примечание 3 7" xfId="2652" xr:uid="{00000000-0005-0000-0000-0000610A0000}"/>
    <cellStyle name="Примечание 3 7 2" xfId="2653" xr:uid="{00000000-0005-0000-0000-0000620A0000}"/>
    <cellStyle name="Примечание 3 7 2 2" xfId="2654" xr:uid="{00000000-0005-0000-0000-0000630A0000}"/>
    <cellStyle name="Примечание 3 7 2 3" xfId="2655" xr:uid="{00000000-0005-0000-0000-0000640A0000}"/>
    <cellStyle name="Примечание 3 7 3" xfId="2656" xr:uid="{00000000-0005-0000-0000-0000650A0000}"/>
    <cellStyle name="Примечание 3 7 3 2" xfId="2657" xr:uid="{00000000-0005-0000-0000-0000660A0000}"/>
    <cellStyle name="Примечание 3 7 3 3" xfId="2658" xr:uid="{00000000-0005-0000-0000-0000670A0000}"/>
    <cellStyle name="Примечание 3 7 4" xfId="2659" xr:uid="{00000000-0005-0000-0000-0000680A0000}"/>
    <cellStyle name="Примечание 3 7 4 2" xfId="2660" xr:uid="{00000000-0005-0000-0000-0000690A0000}"/>
    <cellStyle name="Примечание 3 7 4 3" xfId="2661" xr:uid="{00000000-0005-0000-0000-00006A0A0000}"/>
    <cellStyle name="Примечание 3 7 5" xfId="2662" xr:uid="{00000000-0005-0000-0000-00006B0A0000}"/>
    <cellStyle name="Примечание 3 7 6" xfId="2663" xr:uid="{00000000-0005-0000-0000-00006C0A0000}"/>
    <cellStyle name="Примечание 3 8" xfId="2664" xr:uid="{00000000-0005-0000-0000-00006D0A0000}"/>
    <cellStyle name="Примечание 3 8 2" xfId="2665" xr:uid="{00000000-0005-0000-0000-00006E0A0000}"/>
    <cellStyle name="Примечание 3 8 3" xfId="2666" xr:uid="{00000000-0005-0000-0000-00006F0A0000}"/>
    <cellStyle name="Примечание 3 9" xfId="2667" xr:uid="{00000000-0005-0000-0000-0000700A0000}"/>
    <cellStyle name="Примечание 3 9 2" xfId="2668" xr:uid="{00000000-0005-0000-0000-0000710A0000}"/>
    <cellStyle name="Примечание 3 9 3" xfId="2669" xr:uid="{00000000-0005-0000-0000-0000720A0000}"/>
    <cellStyle name="Примечание 4" xfId="2670" xr:uid="{00000000-0005-0000-0000-0000730A0000}"/>
    <cellStyle name="Примечание 4 10" xfId="2671" xr:uid="{00000000-0005-0000-0000-0000740A0000}"/>
    <cellStyle name="Примечание 4 10 2" xfId="2672" xr:uid="{00000000-0005-0000-0000-0000750A0000}"/>
    <cellStyle name="Примечание 4 10 3" xfId="2673" xr:uid="{00000000-0005-0000-0000-0000760A0000}"/>
    <cellStyle name="Примечание 4 11" xfId="2674" xr:uid="{00000000-0005-0000-0000-0000770A0000}"/>
    <cellStyle name="Примечание 4 12" xfId="2675" xr:uid="{00000000-0005-0000-0000-0000780A0000}"/>
    <cellStyle name="Примечание 4 2" xfId="2676" xr:uid="{00000000-0005-0000-0000-0000790A0000}"/>
    <cellStyle name="Примечание 4 2 2" xfId="2677" xr:uid="{00000000-0005-0000-0000-00007A0A0000}"/>
    <cellStyle name="Примечание 4 2 2 2" xfId="2678" xr:uid="{00000000-0005-0000-0000-00007B0A0000}"/>
    <cellStyle name="Примечание 4 2 2 2 2" xfId="2679" xr:uid="{00000000-0005-0000-0000-00007C0A0000}"/>
    <cellStyle name="Примечание 4 2 2 2 3" xfId="2680" xr:uid="{00000000-0005-0000-0000-00007D0A0000}"/>
    <cellStyle name="Примечание 4 2 2 3" xfId="2681" xr:uid="{00000000-0005-0000-0000-00007E0A0000}"/>
    <cellStyle name="Примечание 4 2 2 3 2" xfId="2682" xr:uid="{00000000-0005-0000-0000-00007F0A0000}"/>
    <cellStyle name="Примечание 4 2 2 3 3" xfId="2683" xr:uid="{00000000-0005-0000-0000-0000800A0000}"/>
    <cellStyle name="Примечание 4 2 2 4" xfId="2684" xr:uid="{00000000-0005-0000-0000-0000810A0000}"/>
    <cellStyle name="Примечание 4 2 2 4 2" xfId="2685" xr:uid="{00000000-0005-0000-0000-0000820A0000}"/>
    <cellStyle name="Примечание 4 2 2 4 3" xfId="2686" xr:uid="{00000000-0005-0000-0000-0000830A0000}"/>
    <cellStyle name="Примечание 4 2 2 5" xfId="2687" xr:uid="{00000000-0005-0000-0000-0000840A0000}"/>
    <cellStyle name="Примечание 4 2 2 6" xfId="2688" xr:uid="{00000000-0005-0000-0000-0000850A0000}"/>
    <cellStyle name="Примечание 4 2 3" xfId="2689" xr:uid="{00000000-0005-0000-0000-0000860A0000}"/>
    <cellStyle name="Примечание 4 2 3 2" xfId="2690" xr:uid="{00000000-0005-0000-0000-0000870A0000}"/>
    <cellStyle name="Примечание 4 2 3 2 2" xfId="2691" xr:uid="{00000000-0005-0000-0000-0000880A0000}"/>
    <cellStyle name="Примечание 4 2 3 2 3" xfId="2692" xr:uid="{00000000-0005-0000-0000-0000890A0000}"/>
    <cellStyle name="Примечание 4 2 3 3" xfId="2693" xr:uid="{00000000-0005-0000-0000-00008A0A0000}"/>
    <cellStyle name="Примечание 4 2 3 3 2" xfId="2694" xr:uid="{00000000-0005-0000-0000-00008B0A0000}"/>
    <cellStyle name="Примечание 4 2 3 3 3" xfId="2695" xr:uid="{00000000-0005-0000-0000-00008C0A0000}"/>
    <cellStyle name="Примечание 4 2 3 4" xfId="2696" xr:uid="{00000000-0005-0000-0000-00008D0A0000}"/>
    <cellStyle name="Примечание 4 2 3 4 2" xfId="2697" xr:uid="{00000000-0005-0000-0000-00008E0A0000}"/>
    <cellStyle name="Примечание 4 2 3 4 3" xfId="2698" xr:uid="{00000000-0005-0000-0000-00008F0A0000}"/>
    <cellStyle name="Примечание 4 2 3 5" xfId="2699" xr:uid="{00000000-0005-0000-0000-0000900A0000}"/>
    <cellStyle name="Примечание 4 2 3 6" xfId="2700" xr:uid="{00000000-0005-0000-0000-0000910A0000}"/>
    <cellStyle name="Примечание 4 2 4" xfId="2701" xr:uid="{00000000-0005-0000-0000-0000920A0000}"/>
    <cellStyle name="Примечание 4 2 4 2" xfId="2702" xr:uid="{00000000-0005-0000-0000-0000930A0000}"/>
    <cellStyle name="Примечание 4 2 4 2 2" xfId="2703" xr:uid="{00000000-0005-0000-0000-0000940A0000}"/>
    <cellStyle name="Примечание 4 2 4 2 3" xfId="2704" xr:uid="{00000000-0005-0000-0000-0000950A0000}"/>
    <cellStyle name="Примечание 4 2 4 3" xfId="2705" xr:uid="{00000000-0005-0000-0000-0000960A0000}"/>
    <cellStyle name="Примечание 4 2 4 3 2" xfId="2706" xr:uid="{00000000-0005-0000-0000-0000970A0000}"/>
    <cellStyle name="Примечание 4 2 4 3 3" xfId="2707" xr:uid="{00000000-0005-0000-0000-0000980A0000}"/>
    <cellStyle name="Примечание 4 2 4 4" xfId="2708" xr:uid="{00000000-0005-0000-0000-0000990A0000}"/>
    <cellStyle name="Примечание 4 2 4 4 2" xfId="2709" xr:uid="{00000000-0005-0000-0000-00009A0A0000}"/>
    <cellStyle name="Примечание 4 2 4 4 3" xfId="2710" xr:uid="{00000000-0005-0000-0000-00009B0A0000}"/>
    <cellStyle name="Примечание 4 2 4 5" xfId="2711" xr:uid="{00000000-0005-0000-0000-00009C0A0000}"/>
    <cellStyle name="Примечание 4 2 4 6" xfId="2712" xr:uid="{00000000-0005-0000-0000-00009D0A0000}"/>
    <cellStyle name="Примечание 4 2 5" xfId="2713" xr:uid="{00000000-0005-0000-0000-00009E0A0000}"/>
    <cellStyle name="Примечание 4 2 5 2" xfId="2714" xr:uid="{00000000-0005-0000-0000-00009F0A0000}"/>
    <cellStyle name="Примечание 4 2 5 3" xfId="2715" xr:uid="{00000000-0005-0000-0000-0000A00A0000}"/>
    <cellStyle name="Примечание 4 2 6" xfId="2716" xr:uid="{00000000-0005-0000-0000-0000A10A0000}"/>
    <cellStyle name="Примечание 4 2 6 2" xfId="2717" xr:uid="{00000000-0005-0000-0000-0000A20A0000}"/>
    <cellStyle name="Примечание 4 2 6 3" xfId="2718" xr:uid="{00000000-0005-0000-0000-0000A30A0000}"/>
    <cellStyle name="Примечание 4 2 7" xfId="2719" xr:uid="{00000000-0005-0000-0000-0000A40A0000}"/>
    <cellStyle name="Примечание 4 2 7 2" xfId="2720" xr:uid="{00000000-0005-0000-0000-0000A50A0000}"/>
    <cellStyle name="Примечание 4 2 7 3" xfId="2721" xr:uid="{00000000-0005-0000-0000-0000A60A0000}"/>
    <cellStyle name="Примечание 4 2 8" xfId="2722" xr:uid="{00000000-0005-0000-0000-0000A70A0000}"/>
    <cellStyle name="Примечание 4 2 9" xfId="2723" xr:uid="{00000000-0005-0000-0000-0000A80A0000}"/>
    <cellStyle name="Примечание 4 3" xfId="2724" xr:uid="{00000000-0005-0000-0000-0000A90A0000}"/>
    <cellStyle name="Примечание 4 3 2" xfId="2725" xr:uid="{00000000-0005-0000-0000-0000AA0A0000}"/>
    <cellStyle name="Примечание 4 3 2 2" xfId="2726" xr:uid="{00000000-0005-0000-0000-0000AB0A0000}"/>
    <cellStyle name="Примечание 4 3 2 2 2" xfId="2727" xr:uid="{00000000-0005-0000-0000-0000AC0A0000}"/>
    <cellStyle name="Примечание 4 3 2 2 3" xfId="2728" xr:uid="{00000000-0005-0000-0000-0000AD0A0000}"/>
    <cellStyle name="Примечание 4 3 2 3" xfId="2729" xr:uid="{00000000-0005-0000-0000-0000AE0A0000}"/>
    <cellStyle name="Примечание 4 3 2 3 2" xfId="2730" xr:uid="{00000000-0005-0000-0000-0000AF0A0000}"/>
    <cellStyle name="Примечание 4 3 2 3 3" xfId="2731" xr:uid="{00000000-0005-0000-0000-0000B00A0000}"/>
    <cellStyle name="Примечание 4 3 2 4" xfId="2732" xr:uid="{00000000-0005-0000-0000-0000B10A0000}"/>
    <cellStyle name="Примечание 4 3 2 4 2" xfId="2733" xr:uid="{00000000-0005-0000-0000-0000B20A0000}"/>
    <cellStyle name="Примечание 4 3 2 4 3" xfId="2734" xr:uid="{00000000-0005-0000-0000-0000B30A0000}"/>
    <cellStyle name="Примечание 4 3 2 5" xfId="2735" xr:uid="{00000000-0005-0000-0000-0000B40A0000}"/>
    <cellStyle name="Примечание 4 3 2 6" xfId="2736" xr:uid="{00000000-0005-0000-0000-0000B50A0000}"/>
    <cellStyle name="Примечание 4 3 3" xfId="2737" xr:uid="{00000000-0005-0000-0000-0000B60A0000}"/>
    <cellStyle name="Примечание 4 3 3 2" xfId="2738" xr:uid="{00000000-0005-0000-0000-0000B70A0000}"/>
    <cellStyle name="Примечание 4 3 3 2 2" xfId="2739" xr:uid="{00000000-0005-0000-0000-0000B80A0000}"/>
    <cellStyle name="Примечание 4 3 3 2 3" xfId="2740" xr:uid="{00000000-0005-0000-0000-0000B90A0000}"/>
    <cellStyle name="Примечание 4 3 3 3" xfId="2741" xr:uid="{00000000-0005-0000-0000-0000BA0A0000}"/>
    <cellStyle name="Примечание 4 3 3 3 2" xfId="2742" xr:uid="{00000000-0005-0000-0000-0000BB0A0000}"/>
    <cellStyle name="Примечание 4 3 3 3 3" xfId="2743" xr:uid="{00000000-0005-0000-0000-0000BC0A0000}"/>
    <cellStyle name="Примечание 4 3 3 4" xfId="2744" xr:uid="{00000000-0005-0000-0000-0000BD0A0000}"/>
    <cellStyle name="Примечание 4 3 3 4 2" xfId="2745" xr:uid="{00000000-0005-0000-0000-0000BE0A0000}"/>
    <cellStyle name="Примечание 4 3 3 4 3" xfId="2746" xr:uid="{00000000-0005-0000-0000-0000BF0A0000}"/>
    <cellStyle name="Примечание 4 3 3 5" xfId="2747" xr:uid="{00000000-0005-0000-0000-0000C00A0000}"/>
    <cellStyle name="Примечание 4 3 3 6" xfId="2748" xr:uid="{00000000-0005-0000-0000-0000C10A0000}"/>
    <cellStyle name="Примечание 4 3 4" xfId="2749" xr:uid="{00000000-0005-0000-0000-0000C20A0000}"/>
    <cellStyle name="Примечание 4 3 4 2" xfId="2750" xr:uid="{00000000-0005-0000-0000-0000C30A0000}"/>
    <cellStyle name="Примечание 4 3 4 2 2" xfId="2751" xr:uid="{00000000-0005-0000-0000-0000C40A0000}"/>
    <cellStyle name="Примечание 4 3 4 2 3" xfId="2752" xr:uid="{00000000-0005-0000-0000-0000C50A0000}"/>
    <cellStyle name="Примечание 4 3 4 3" xfId="2753" xr:uid="{00000000-0005-0000-0000-0000C60A0000}"/>
    <cellStyle name="Примечание 4 3 4 3 2" xfId="2754" xr:uid="{00000000-0005-0000-0000-0000C70A0000}"/>
    <cellStyle name="Примечание 4 3 4 3 3" xfId="2755" xr:uid="{00000000-0005-0000-0000-0000C80A0000}"/>
    <cellStyle name="Примечание 4 3 4 4" xfId="2756" xr:uid="{00000000-0005-0000-0000-0000C90A0000}"/>
    <cellStyle name="Примечание 4 3 4 4 2" xfId="2757" xr:uid="{00000000-0005-0000-0000-0000CA0A0000}"/>
    <cellStyle name="Примечание 4 3 4 4 3" xfId="2758" xr:uid="{00000000-0005-0000-0000-0000CB0A0000}"/>
    <cellStyle name="Примечание 4 3 4 5" xfId="2759" xr:uid="{00000000-0005-0000-0000-0000CC0A0000}"/>
    <cellStyle name="Примечание 4 3 4 6" xfId="2760" xr:uid="{00000000-0005-0000-0000-0000CD0A0000}"/>
    <cellStyle name="Примечание 4 3 5" xfId="2761" xr:uid="{00000000-0005-0000-0000-0000CE0A0000}"/>
    <cellStyle name="Примечание 4 3 5 2" xfId="2762" xr:uid="{00000000-0005-0000-0000-0000CF0A0000}"/>
    <cellStyle name="Примечание 4 3 5 3" xfId="2763" xr:uid="{00000000-0005-0000-0000-0000D00A0000}"/>
    <cellStyle name="Примечание 4 3 6" xfId="2764" xr:uid="{00000000-0005-0000-0000-0000D10A0000}"/>
    <cellStyle name="Примечание 4 3 6 2" xfId="2765" xr:uid="{00000000-0005-0000-0000-0000D20A0000}"/>
    <cellStyle name="Примечание 4 3 6 3" xfId="2766" xr:uid="{00000000-0005-0000-0000-0000D30A0000}"/>
    <cellStyle name="Примечание 4 3 7" xfId="2767" xr:uid="{00000000-0005-0000-0000-0000D40A0000}"/>
    <cellStyle name="Примечание 4 3 7 2" xfId="2768" xr:uid="{00000000-0005-0000-0000-0000D50A0000}"/>
    <cellStyle name="Примечание 4 3 7 3" xfId="2769" xr:uid="{00000000-0005-0000-0000-0000D60A0000}"/>
    <cellStyle name="Примечание 4 3 8" xfId="2770" xr:uid="{00000000-0005-0000-0000-0000D70A0000}"/>
    <cellStyle name="Примечание 4 3 9" xfId="2771" xr:uid="{00000000-0005-0000-0000-0000D80A0000}"/>
    <cellStyle name="Примечание 4 4" xfId="2772" xr:uid="{00000000-0005-0000-0000-0000D90A0000}"/>
    <cellStyle name="Примечание 4 4 2" xfId="2773" xr:uid="{00000000-0005-0000-0000-0000DA0A0000}"/>
    <cellStyle name="Примечание 4 4 2 2" xfId="2774" xr:uid="{00000000-0005-0000-0000-0000DB0A0000}"/>
    <cellStyle name="Примечание 4 4 2 2 2" xfId="2775" xr:uid="{00000000-0005-0000-0000-0000DC0A0000}"/>
    <cellStyle name="Примечание 4 4 2 2 3" xfId="2776" xr:uid="{00000000-0005-0000-0000-0000DD0A0000}"/>
    <cellStyle name="Примечание 4 4 2 3" xfId="2777" xr:uid="{00000000-0005-0000-0000-0000DE0A0000}"/>
    <cellStyle name="Примечание 4 4 2 3 2" xfId="2778" xr:uid="{00000000-0005-0000-0000-0000DF0A0000}"/>
    <cellStyle name="Примечание 4 4 2 3 3" xfId="2779" xr:uid="{00000000-0005-0000-0000-0000E00A0000}"/>
    <cellStyle name="Примечание 4 4 2 4" xfId="2780" xr:uid="{00000000-0005-0000-0000-0000E10A0000}"/>
    <cellStyle name="Примечание 4 4 2 4 2" xfId="2781" xr:uid="{00000000-0005-0000-0000-0000E20A0000}"/>
    <cellStyle name="Примечание 4 4 2 4 3" xfId="2782" xr:uid="{00000000-0005-0000-0000-0000E30A0000}"/>
    <cellStyle name="Примечание 4 4 2 5" xfId="2783" xr:uid="{00000000-0005-0000-0000-0000E40A0000}"/>
    <cellStyle name="Примечание 4 4 2 6" xfId="2784" xr:uid="{00000000-0005-0000-0000-0000E50A0000}"/>
    <cellStyle name="Примечание 4 4 3" xfId="2785" xr:uid="{00000000-0005-0000-0000-0000E60A0000}"/>
    <cellStyle name="Примечание 4 4 3 2" xfId="2786" xr:uid="{00000000-0005-0000-0000-0000E70A0000}"/>
    <cellStyle name="Примечание 4 4 3 2 2" xfId="2787" xr:uid="{00000000-0005-0000-0000-0000E80A0000}"/>
    <cellStyle name="Примечание 4 4 3 2 3" xfId="2788" xr:uid="{00000000-0005-0000-0000-0000E90A0000}"/>
    <cellStyle name="Примечание 4 4 3 3" xfId="2789" xr:uid="{00000000-0005-0000-0000-0000EA0A0000}"/>
    <cellStyle name="Примечание 4 4 3 3 2" xfId="2790" xr:uid="{00000000-0005-0000-0000-0000EB0A0000}"/>
    <cellStyle name="Примечание 4 4 3 3 3" xfId="2791" xr:uid="{00000000-0005-0000-0000-0000EC0A0000}"/>
    <cellStyle name="Примечание 4 4 3 4" xfId="2792" xr:uid="{00000000-0005-0000-0000-0000ED0A0000}"/>
    <cellStyle name="Примечание 4 4 3 4 2" xfId="2793" xr:uid="{00000000-0005-0000-0000-0000EE0A0000}"/>
    <cellStyle name="Примечание 4 4 3 4 3" xfId="2794" xr:uid="{00000000-0005-0000-0000-0000EF0A0000}"/>
    <cellStyle name="Примечание 4 4 3 5" xfId="2795" xr:uid="{00000000-0005-0000-0000-0000F00A0000}"/>
    <cellStyle name="Примечание 4 4 3 6" xfId="2796" xr:uid="{00000000-0005-0000-0000-0000F10A0000}"/>
    <cellStyle name="Примечание 4 4 4" xfId="2797" xr:uid="{00000000-0005-0000-0000-0000F20A0000}"/>
    <cellStyle name="Примечание 4 4 4 2" xfId="2798" xr:uid="{00000000-0005-0000-0000-0000F30A0000}"/>
    <cellStyle name="Примечание 4 4 4 2 2" xfId="2799" xr:uid="{00000000-0005-0000-0000-0000F40A0000}"/>
    <cellStyle name="Примечание 4 4 4 2 3" xfId="2800" xr:uid="{00000000-0005-0000-0000-0000F50A0000}"/>
    <cellStyle name="Примечание 4 4 4 3" xfId="2801" xr:uid="{00000000-0005-0000-0000-0000F60A0000}"/>
    <cellStyle name="Примечание 4 4 4 3 2" xfId="2802" xr:uid="{00000000-0005-0000-0000-0000F70A0000}"/>
    <cellStyle name="Примечание 4 4 4 3 3" xfId="2803" xr:uid="{00000000-0005-0000-0000-0000F80A0000}"/>
    <cellStyle name="Примечание 4 4 4 4" xfId="2804" xr:uid="{00000000-0005-0000-0000-0000F90A0000}"/>
    <cellStyle name="Примечание 4 4 4 4 2" xfId="2805" xr:uid="{00000000-0005-0000-0000-0000FA0A0000}"/>
    <cellStyle name="Примечание 4 4 4 4 3" xfId="2806" xr:uid="{00000000-0005-0000-0000-0000FB0A0000}"/>
    <cellStyle name="Примечание 4 4 4 5" xfId="2807" xr:uid="{00000000-0005-0000-0000-0000FC0A0000}"/>
    <cellStyle name="Примечание 4 4 4 6" xfId="2808" xr:uid="{00000000-0005-0000-0000-0000FD0A0000}"/>
    <cellStyle name="Примечание 4 4 5" xfId="2809" xr:uid="{00000000-0005-0000-0000-0000FE0A0000}"/>
    <cellStyle name="Примечание 4 4 5 2" xfId="2810" xr:uid="{00000000-0005-0000-0000-0000FF0A0000}"/>
    <cellStyle name="Примечание 4 4 5 3" xfId="2811" xr:uid="{00000000-0005-0000-0000-0000000B0000}"/>
    <cellStyle name="Примечание 4 4 6" xfId="2812" xr:uid="{00000000-0005-0000-0000-0000010B0000}"/>
    <cellStyle name="Примечание 4 4 6 2" xfId="2813" xr:uid="{00000000-0005-0000-0000-0000020B0000}"/>
    <cellStyle name="Примечание 4 4 6 3" xfId="2814" xr:uid="{00000000-0005-0000-0000-0000030B0000}"/>
    <cellStyle name="Примечание 4 4 7" xfId="2815" xr:uid="{00000000-0005-0000-0000-0000040B0000}"/>
    <cellStyle name="Примечание 4 4 7 2" xfId="2816" xr:uid="{00000000-0005-0000-0000-0000050B0000}"/>
    <cellStyle name="Примечание 4 4 7 3" xfId="2817" xr:uid="{00000000-0005-0000-0000-0000060B0000}"/>
    <cellStyle name="Примечание 4 4 8" xfId="2818" xr:uid="{00000000-0005-0000-0000-0000070B0000}"/>
    <cellStyle name="Примечание 4 4 9" xfId="2819" xr:uid="{00000000-0005-0000-0000-0000080B0000}"/>
    <cellStyle name="Примечание 4 5" xfId="2820" xr:uid="{00000000-0005-0000-0000-0000090B0000}"/>
    <cellStyle name="Примечание 4 5 2" xfId="2821" xr:uid="{00000000-0005-0000-0000-00000A0B0000}"/>
    <cellStyle name="Примечание 4 5 2 2" xfId="2822" xr:uid="{00000000-0005-0000-0000-00000B0B0000}"/>
    <cellStyle name="Примечание 4 5 2 3" xfId="2823" xr:uid="{00000000-0005-0000-0000-00000C0B0000}"/>
    <cellStyle name="Примечание 4 5 3" xfId="2824" xr:uid="{00000000-0005-0000-0000-00000D0B0000}"/>
    <cellStyle name="Примечание 4 5 3 2" xfId="2825" xr:uid="{00000000-0005-0000-0000-00000E0B0000}"/>
    <cellStyle name="Примечание 4 5 3 3" xfId="2826" xr:uid="{00000000-0005-0000-0000-00000F0B0000}"/>
    <cellStyle name="Примечание 4 5 4" xfId="2827" xr:uid="{00000000-0005-0000-0000-0000100B0000}"/>
    <cellStyle name="Примечание 4 5 4 2" xfId="2828" xr:uid="{00000000-0005-0000-0000-0000110B0000}"/>
    <cellStyle name="Примечание 4 5 4 3" xfId="2829" xr:uid="{00000000-0005-0000-0000-0000120B0000}"/>
    <cellStyle name="Примечание 4 5 5" xfId="2830" xr:uid="{00000000-0005-0000-0000-0000130B0000}"/>
    <cellStyle name="Примечание 4 5 6" xfId="2831" xr:uid="{00000000-0005-0000-0000-0000140B0000}"/>
    <cellStyle name="Примечание 4 6" xfId="2832" xr:uid="{00000000-0005-0000-0000-0000150B0000}"/>
    <cellStyle name="Примечание 4 6 2" xfId="2833" xr:uid="{00000000-0005-0000-0000-0000160B0000}"/>
    <cellStyle name="Примечание 4 6 2 2" xfId="2834" xr:uid="{00000000-0005-0000-0000-0000170B0000}"/>
    <cellStyle name="Примечание 4 6 2 3" xfId="2835" xr:uid="{00000000-0005-0000-0000-0000180B0000}"/>
    <cellStyle name="Примечание 4 6 3" xfId="2836" xr:uid="{00000000-0005-0000-0000-0000190B0000}"/>
    <cellStyle name="Примечание 4 6 3 2" xfId="2837" xr:uid="{00000000-0005-0000-0000-00001A0B0000}"/>
    <cellStyle name="Примечание 4 6 3 3" xfId="2838" xr:uid="{00000000-0005-0000-0000-00001B0B0000}"/>
    <cellStyle name="Примечание 4 6 4" xfId="2839" xr:uid="{00000000-0005-0000-0000-00001C0B0000}"/>
    <cellStyle name="Примечание 4 6 4 2" xfId="2840" xr:uid="{00000000-0005-0000-0000-00001D0B0000}"/>
    <cellStyle name="Примечание 4 6 4 3" xfId="2841" xr:uid="{00000000-0005-0000-0000-00001E0B0000}"/>
    <cellStyle name="Примечание 4 6 5" xfId="2842" xr:uid="{00000000-0005-0000-0000-00001F0B0000}"/>
    <cellStyle name="Примечание 4 6 6" xfId="2843" xr:uid="{00000000-0005-0000-0000-0000200B0000}"/>
    <cellStyle name="Примечание 4 7" xfId="2844" xr:uid="{00000000-0005-0000-0000-0000210B0000}"/>
    <cellStyle name="Примечание 4 7 2" xfId="2845" xr:uid="{00000000-0005-0000-0000-0000220B0000}"/>
    <cellStyle name="Примечание 4 7 2 2" xfId="2846" xr:uid="{00000000-0005-0000-0000-0000230B0000}"/>
    <cellStyle name="Примечание 4 7 2 3" xfId="2847" xr:uid="{00000000-0005-0000-0000-0000240B0000}"/>
    <cellStyle name="Примечание 4 7 3" xfId="2848" xr:uid="{00000000-0005-0000-0000-0000250B0000}"/>
    <cellStyle name="Примечание 4 7 3 2" xfId="2849" xr:uid="{00000000-0005-0000-0000-0000260B0000}"/>
    <cellStyle name="Примечание 4 7 3 3" xfId="2850" xr:uid="{00000000-0005-0000-0000-0000270B0000}"/>
    <cellStyle name="Примечание 4 7 4" xfId="2851" xr:uid="{00000000-0005-0000-0000-0000280B0000}"/>
    <cellStyle name="Примечание 4 7 4 2" xfId="2852" xr:uid="{00000000-0005-0000-0000-0000290B0000}"/>
    <cellStyle name="Примечание 4 7 4 3" xfId="2853" xr:uid="{00000000-0005-0000-0000-00002A0B0000}"/>
    <cellStyle name="Примечание 4 7 5" xfId="2854" xr:uid="{00000000-0005-0000-0000-00002B0B0000}"/>
    <cellStyle name="Примечание 4 7 6" xfId="2855" xr:uid="{00000000-0005-0000-0000-00002C0B0000}"/>
    <cellStyle name="Примечание 4 8" xfId="2856" xr:uid="{00000000-0005-0000-0000-00002D0B0000}"/>
    <cellStyle name="Примечание 4 8 2" xfId="2857" xr:uid="{00000000-0005-0000-0000-00002E0B0000}"/>
    <cellStyle name="Примечание 4 8 3" xfId="2858" xr:uid="{00000000-0005-0000-0000-00002F0B0000}"/>
    <cellStyle name="Примечание 4 9" xfId="2859" xr:uid="{00000000-0005-0000-0000-0000300B0000}"/>
    <cellStyle name="Примечание 4 9 2" xfId="2860" xr:uid="{00000000-0005-0000-0000-0000310B0000}"/>
    <cellStyle name="Примечание 4 9 3" xfId="2861" xr:uid="{00000000-0005-0000-0000-0000320B0000}"/>
    <cellStyle name="Примечание 5" xfId="2862" xr:uid="{00000000-0005-0000-0000-0000330B0000}"/>
    <cellStyle name="Примечание 5 10" xfId="2863" xr:uid="{00000000-0005-0000-0000-0000340B0000}"/>
    <cellStyle name="Примечание 5 11" xfId="2864" xr:uid="{00000000-0005-0000-0000-0000350B0000}"/>
    <cellStyle name="Примечание 5 2" xfId="2865" xr:uid="{00000000-0005-0000-0000-0000360B0000}"/>
    <cellStyle name="Примечание 5 2 2" xfId="2866" xr:uid="{00000000-0005-0000-0000-0000370B0000}"/>
    <cellStyle name="Примечание 5 2 2 2" xfId="2867" xr:uid="{00000000-0005-0000-0000-0000380B0000}"/>
    <cellStyle name="Примечание 5 2 2 2 2" xfId="2868" xr:uid="{00000000-0005-0000-0000-0000390B0000}"/>
    <cellStyle name="Примечание 5 2 2 2 3" xfId="2869" xr:uid="{00000000-0005-0000-0000-00003A0B0000}"/>
    <cellStyle name="Примечание 5 2 2 3" xfId="2870" xr:uid="{00000000-0005-0000-0000-00003B0B0000}"/>
    <cellStyle name="Примечание 5 2 2 3 2" xfId="2871" xr:uid="{00000000-0005-0000-0000-00003C0B0000}"/>
    <cellStyle name="Примечание 5 2 2 3 3" xfId="2872" xr:uid="{00000000-0005-0000-0000-00003D0B0000}"/>
    <cellStyle name="Примечание 5 2 2 4" xfId="2873" xr:uid="{00000000-0005-0000-0000-00003E0B0000}"/>
    <cellStyle name="Примечание 5 2 2 4 2" xfId="2874" xr:uid="{00000000-0005-0000-0000-00003F0B0000}"/>
    <cellStyle name="Примечание 5 2 2 4 3" xfId="2875" xr:uid="{00000000-0005-0000-0000-0000400B0000}"/>
    <cellStyle name="Примечание 5 2 2 5" xfId="2876" xr:uid="{00000000-0005-0000-0000-0000410B0000}"/>
    <cellStyle name="Примечание 5 2 2 6" xfId="2877" xr:uid="{00000000-0005-0000-0000-0000420B0000}"/>
    <cellStyle name="Примечание 5 2 3" xfId="2878" xr:uid="{00000000-0005-0000-0000-0000430B0000}"/>
    <cellStyle name="Примечание 5 2 3 2" xfId="2879" xr:uid="{00000000-0005-0000-0000-0000440B0000}"/>
    <cellStyle name="Примечание 5 2 3 2 2" xfId="2880" xr:uid="{00000000-0005-0000-0000-0000450B0000}"/>
    <cellStyle name="Примечание 5 2 3 2 3" xfId="2881" xr:uid="{00000000-0005-0000-0000-0000460B0000}"/>
    <cellStyle name="Примечание 5 2 3 3" xfId="2882" xr:uid="{00000000-0005-0000-0000-0000470B0000}"/>
    <cellStyle name="Примечание 5 2 3 3 2" xfId="2883" xr:uid="{00000000-0005-0000-0000-0000480B0000}"/>
    <cellStyle name="Примечание 5 2 3 3 3" xfId="2884" xr:uid="{00000000-0005-0000-0000-0000490B0000}"/>
    <cellStyle name="Примечание 5 2 3 4" xfId="2885" xr:uid="{00000000-0005-0000-0000-00004A0B0000}"/>
    <cellStyle name="Примечание 5 2 3 4 2" xfId="2886" xr:uid="{00000000-0005-0000-0000-00004B0B0000}"/>
    <cellStyle name="Примечание 5 2 3 4 3" xfId="2887" xr:uid="{00000000-0005-0000-0000-00004C0B0000}"/>
    <cellStyle name="Примечание 5 2 3 5" xfId="2888" xr:uid="{00000000-0005-0000-0000-00004D0B0000}"/>
    <cellStyle name="Примечание 5 2 3 6" xfId="2889" xr:uid="{00000000-0005-0000-0000-00004E0B0000}"/>
    <cellStyle name="Примечание 5 2 4" xfId="2890" xr:uid="{00000000-0005-0000-0000-00004F0B0000}"/>
    <cellStyle name="Примечание 5 2 4 2" xfId="2891" xr:uid="{00000000-0005-0000-0000-0000500B0000}"/>
    <cellStyle name="Примечание 5 2 4 2 2" xfId="2892" xr:uid="{00000000-0005-0000-0000-0000510B0000}"/>
    <cellStyle name="Примечание 5 2 4 2 3" xfId="2893" xr:uid="{00000000-0005-0000-0000-0000520B0000}"/>
    <cellStyle name="Примечание 5 2 4 3" xfId="2894" xr:uid="{00000000-0005-0000-0000-0000530B0000}"/>
    <cellStyle name="Примечание 5 2 4 3 2" xfId="2895" xr:uid="{00000000-0005-0000-0000-0000540B0000}"/>
    <cellStyle name="Примечание 5 2 4 3 3" xfId="2896" xr:uid="{00000000-0005-0000-0000-0000550B0000}"/>
    <cellStyle name="Примечание 5 2 4 4" xfId="2897" xr:uid="{00000000-0005-0000-0000-0000560B0000}"/>
    <cellStyle name="Примечание 5 2 4 4 2" xfId="2898" xr:uid="{00000000-0005-0000-0000-0000570B0000}"/>
    <cellStyle name="Примечание 5 2 4 4 3" xfId="2899" xr:uid="{00000000-0005-0000-0000-0000580B0000}"/>
    <cellStyle name="Примечание 5 2 4 5" xfId="2900" xr:uid="{00000000-0005-0000-0000-0000590B0000}"/>
    <cellStyle name="Примечание 5 2 4 6" xfId="2901" xr:uid="{00000000-0005-0000-0000-00005A0B0000}"/>
    <cellStyle name="Примечание 5 2 5" xfId="2902" xr:uid="{00000000-0005-0000-0000-00005B0B0000}"/>
    <cellStyle name="Примечание 5 2 5 2" xfId="2903" xr:uid="{00000000-0005-0000-0000-00005C0B0000}"/>
    <cellStyle name="Примечание 5 2 5 3" xfId="2904" xr:uid="{00000000-0005-0000-0000-00005D0B0000}"/>
    <cellStyle name="Примечание 5 2 6" xfId="2905" xr:uid="{00000000-0005-0000-0000-00005E0B0000}"/>
    <cellStyle name="Примечание 5 2 6 2" xfId="2906" xr:uid="{00000000-0005-0000-0000-00005F0B0000}"/>
    <cellStyle name="Примечание 5 2 6 3" xfId="2907" xr:uid="{00000000-0005-0000-0000-0000600B0000}"/>
    <cellStyle name="Примечание 5 2 7" xfId="2908" xr:uid="{00000000-0005-0000-0000-0000610B0000}"/>
    <cellStyle name="Примечание 5 2 7 2" xfId="2909" xr:uid="{00000000-0005-0000-0000-0000620B0000}"/>
    <cellStyle name="Примечание 5 2 7 3" xfId="2910" xr:uid="{00000000-0005-0000-0000-0000630B0000}"/>
    <cellStyle name="Примечание 5 2 8" xfId="2911" xr:uid="{00000000-0005-0000-0000-0000640B0000}"/>
    <cellStyle name="Примечание 5 2 9" xfId="2912" xr:uid="{00000000-0005-0000-0000-0000650B0000}"/>
    <cellStyle name="Примечание 5 3" xfId="2913" xr:uid="{00000000-0005-0000-0000-0000660B0000}"/>
    <cellStyle name="Примечание 5 3 2" xfId="2914" xr:uid="{00000000-0005-0000-0000-0000670B0000}"/>
    <cellStyle name="Примечание 5 3 2 2" xfId="2915" xr:uid="{00000000-0005-0000-0000-0000680B0000}"/>
    <cellStyle name="Примечание 5 3 2 2 2" xfId="2916" xr:uid="{00000000-0005-0000-0000-0000690B0000}"/>
    <cellStyle name="Примечание 5 3 2 2 3" xfId="2917" xr:uid="{00000000-0005-0000-0000-00006A0B0000}"/>
    <cellStyle name="Примечание 5 3 2 3" xfId="2918" xr:uid="{00000000-0005-0000-0000-00006B0B0000}"/>
    <cellStyle name="Примечание 5 3 2 3 2" xfId="2919" xr:uid="{00000000-0005-0000-0000-00006C0B0000}"/>
    <cellStyle name="Примечание 5 3 2 3 3" xfId="2920" xr:uid="{00000000-0005-0000-0000-00006D0B0000}"/>
    <cellStyle name="Примечание 5 3 2 4" xfId="2921" xr:uid="{00000000-0005-0000-0000-00006E0B0000}"/>
    <cellStyle name="Примечание 5 3 2 4 2" xfId="2922" xr:uid="{00000000-0005-0000-0000-00006F0B0000}"/>
    <cellStyle name="Примечание 5 3 2 4 3" xfId="2923" xr:uid="{00000000-0005-0000-0000-0000700B0000}"/>
    <cellStyle name="Примечание 5 3 2 5" xfId="2924" xr:uid="{00000000-0005-0000-0000-0000710B0000}"/>
    <cellStyle name="Примечание 5 3 2 6" xfId="2925" xr:uid="{00000000-0005-0000-0000-0000720B0000}"/>
    <cellStyle name="Примечание 5 3 3" xfId="2926" xr:uid="{00000000-0005-0000-0000-0000730B0000}"/>
    <cellStyle name="Примечание 5 3 3 2" xfId="2927" xr:uid="{00000000-0005-0000-0000-0000740B0000}"/>
    <cellStyle name="Примечание 5 3 3 2 2" xfId="2928" xr:uid="{00000000-0005-0000-0000-0000750B0000}"/>
    <cellStyle name="Примечание 5 3 3 2 3" xfId="2929" xr:uid="{00000000-0005-0000-0000-0000760B0000}"/>
    <cellStyle name="Примечание 5 3 3 3" xfId="2930" xr:uid="{00000000-0005-0000-0000-0000770B0000}"/>
    <cellStyle name="Примечание 5 3 3 3 2" xfId="2931" xr:uid="{00000000-0005-0000-0000-0000780B0000}"/>
    <cellStyle name="Примечание 5 3 3 3 3" xfId="2932" xr:uid="{00000000-0005-0000-0000-0000790B0000}"/>
    <cellStyle name="Примечание 5 3 3 4" xfId="2933" xr:uid="{00000000-0005-0000-0000-00007A0B0000}"/>
    <cellStyle name="Примечание 5 3 3 4 2" xfId="2934" xr:uid="{00000000-0005-0000-0000-00007B0B0000}"/>
    <cellStyle name="Примечание 5 3 3 4 3" xfId="2935" xr:uid="{00000000-0005-0000-0000-00007C0B0000}"/>
    <cellStyle name="Примечание 5 3 3 5" xfId="2936" xr:uid="{00000000-0005-0000-0000-00007D0B0000}"/>
    <cellStyle name="Примечание 5 3 3 6" xfId="2937" xr:uid="{00000000-0005-0000-0000-00007E0B0000}"/>
    <cellStyle name="Примечание 5 3 4" xfId="2938" xr:uid="{00000000-0005-0000-0000-00007F0B0000}"/>
    <cellStyle name="Примечание 5 3 4 2" xfId="2939" xr:uid="{00000000-0005-0000-0000-0000800B0000}"/>
    <cellStyle name="Примечание 5 3 4 2 2" xfId="2940" xr:uid="{00000000-0005-0000-0000-0000810B0000}"/>
    <cellStyle name="Примечание 5 3 4 2 3" xfId="2941" xr:uid="{00000000-0005-0000-0000-0000820B0000}"/>
    <cellStyle name="Примечание 5 3 4 3" xfId="2942" xr:uid="{00000000-0005-0000-0000-0000830B0000}"/>
    <cellStyle name="Примечание 5 3 4 3 2" xfId="2943" xr:uid="{00000000-0005-0000-0000-0000840B0000}"/>
    <cellStyle name="Примечание 5 3 4 3 3" xfId="2944" xr:uid="{00000000-0005-0000-0000-0000850B0000}"/>
    <cellStyle name="Примечание 5 3 4 4" xfId="2945" xr:uid="{00000000-0005-0000-0000-0000860B0000}"/>
    <cellStyle name="Примечание 5 3 4 4 2" xfId="2946" xr:uid="{00000000-0005-0000-0000-0000870B0000}"/>
    <cellStyle name="Примечание 5 3 4 4 3" xfId="2947" xr:uid="{00000000-0005-0000-0000-0000880B0000}"/>
    <cellStyle name="Примечание 5 3 4 5" xfId="2948" xr:uid="{00000000-0005-0000-0000-0000890B0000}"/>
    <cellStyle name="Примечание 5 3 4 6" xfId="2949" xr:uid="{00000000-0005-0000-0000-00008A0B0000}"/>
    <cellStyle name="Примечание 5 3 5" xfId="2950" xr:uid="{00000000-0005-0000-0000-00008B0B0000}"/>
    <cellStyle name="Примечание 5 3 5 2" xfId="2951" xr:uid="{00000000-0005-0000-0000-00008C0B0000}"/>
    <cellStyle name="Примечание 5 3 5 3" xfId="2952" xr:uid="{00000000-0005-0000-0000-00008D0B0000}"/>
    <cellStyle name="Примечание 5 3 6" xfId="2953" xr:uid="{00000000-0005-0000-0000-00008E0B0000}"/>
    <cellStyle name="Примечание 5 3 6 2" xfId="2954" xr:uid="{00000000-0005-0000-0000-00008F0B0000}"/>
    <cellStyle name="Примечание 5 3 6 3" xfId="2955" xr:uid="{00000000-0005-0000-0000-0000900B0000}"/>
    <cellStyle name="Примечание 5 3 7" xfId="2956" xr:uid="{00000000-0005-0000-0000-0000910B0000}"/>
    <cellStyle name="Примечание 5 3 7 2" xfId="2957" xr:uid="{00000000-0005-0000-0000-0000920B0000}"/>
    <cellStyle name="Примечание 5 3 7 3" xfId="2958" xr:uid="{00000000-0005-0000-0000-0000930B0000}"/>
    <cellStyle name="Примечание 5 3 8" xfId="2959" xr:uid="{00000000-0005-0000-0000-0000940B0000}"/>
    <cellStyle name="Примечание 5 3 9" xfId="2960" xr:uid="{00000000-0005-0000-0000-0000950B0000}"/>
    <cellStyle name="Примечание 5 4" xfId="2961" xr:uid="{00000000-0005-0000-0000-0000960B0000}"/>
    <cellStyle name="Примечание 5 4 2" xfId="2962" xr:uid="{00000000-0005-0000-0000-0000970B0000}"/>
    <cellStyle name="Примечание 5 4 2 2" xfId="2963" xr:uid="{00000000-0005-0000-0000-0000980B0000}"/>
    <cellStyle name="Примечание 5 4 2 3" xfId="2964" xr:uid="{00000000-0005-0000-0000-0000990B0000}"/>
    <cellStyle name="Примечание 5 4 3" xfId="2965" xr:uid="{00000000-0005-0000-0000-00009A0B0000}"/>
    <cellStyle name="Примечание 5 4 3 2" xfId="2966" xr:uid="{00000000-0005-0000-0000-00009B0B0000}"/>
    <cellStyle name="Примечание 5 4 3 3" xfId="2967" xr:uid="{00000000-0005-0000-0000-00009C0B0000}"/>
    <cellStyle name="Примечание 5 4 4" xfId="2968" xr:uid="{00000000-0005-0000-0000-00009D0B0000}"/>
    <cellStyle name="Примечание 5 4 4 2" xfId="2969" xr:uid="{00000000-0005-0000-0000-00009E0B0000}"/>
    <cellStyle name="Примечание 5 4 4 3" xfId="2970" xr:uid="{00000000-0005-0000-0000-00009F0B0000}"/>
    <cellStyle name="Примечание 5 4 5" xfId="2971" xr:uid="{00000000-0005-0000-0000-0000A00B0000}"/>
    <cellStyle name="Примечание 5 4 6" xfId="2972" xr:uid="{00000000-0005-0000-0000-0000A10B0000}"/>
    <cellStyle name="Примечание 5 5" xfId="2973" xr:uid="{00000000-0005-0000-0000-0000A20B0000}"/>
    <cellStyle name="Примечание 5 5 2" xfId="2974" xr:uid="{00000000-0005-0000-0000-0000A30B0000}"/>
    <cellStyle name="Примечание 5 5 2 2" xfId="2975" xr:uid="{00000000-0005-0000-0000-0000A40B0000}"/>
    <cellStyle name="Примечание 5 5 2 3" xfId="2976" xr:uid="{00000000-0005-0000-0000-0000A50B0000}"/>
    <cellStyle name="Примечание 5 5 3" xfId="2977" xr:uid="{00000000-0005-0000-0000-0000A60B0000}"/>
    <cellStyle name="Примечание 5 5 3 2" xfId="2978" xr:uid="{00000000-0005-0000-0000-0000A70B0000}"/>
    <cellStyle name="Примечание 5 5 3 3" xfId="2979" xr:uid="{00000000-0005-0000-0000-0000A80B0000}"/>
    <cellStyle name="Примечание 5 5 4" xfId="2980" xr:uid="{00000000-0005-0000-0000-0000A90B0000}"/>
    <cellStyle name="Примечание 5 5 4 2" xfId="2981" xr:uid="{00000000-0005-0000-0000-0000AA0B0000}"/>
    <cellStyle name="Примечание 5 5 4 3" xfId="2982" xr:uid="{00000000-0005-0000-0000-0000AB0B0000}"/>
    <cellStyle name="Примечание 5 5 5" xfId="2983" xr:uid="{00000000-0005-0000-0000-0000AC0B0000}"/>
    <cellStyle name="Примечание 5 5 6" xfId="2984" xr:uid="{00000000-0005-0000-0000-0000AD0B0000}"/>
    <cellStyle name="Примечание 5 6" xfId="2985" xr:uid="{00000000-0005-0000-0000-0000AE0B0000}"/>
    <cellStyle name="Примечание 5 6 2" xfId="2986" xr:uid="{00000000-0005-0000-0000-0000AF0B0000}"/>
    <cellStyle name="Примечание 5 6 2 2" xfId="2987" xr:uid="{00000000-0005-0000-0000-0000B00B0000}"/>
    <cellStyle name="Примечание 5 6 2 3" xfId="2988" xr:uid="{00000000-0005-0000-0000-0000B10B0000}"/>
    <cellStyle name="Примечание 5 6 3" xfId="2989" xr:uid="{00000000-0005-0000-0000-0000B20B0000}"/>
    <cellStyle name="Примечание 5 6 3 2" xfId="2990" xr:uid="{00000000-0005-0000-0000-0000B30B0000}"/>
    <cellStyle name="Примечание 5 6 3 3" xfId="2991" xr:uid="{00000000-0005-0000-0000-0000B40B0000}"/>
    <cellStyle name="Примечание 5 6 4" xfId="2992" xr:uid="{00000000-0005-0000-0000-0000B50B0000}"/>
    <cellStyle name="Примечание 5 6 4 2" xfId="2993" xr:uid="{00000000-0005-0000-0000-0000B60B0000}"/>
    <cellStyle name="Примечание 5 6 4 3" xfId="2994" xr:uid="{00000000-0005-0000-0000-0000B70B0000}"/>
    <cellStyle name="Примечание 5 6 5" xfId="2995" xr:uid="{00000000-0005-0000-0000-0000B80B0000}"/>
    <cellStyle name="Примечание 5 6 6" xfId="2996" xr:uid="{00000000-0005-0000-0000-0000B90B0000}"/>
    <cellStyle name="Примечание 5 7" xfId="2997" xr:uid="{00000000-0005-0000-0000-0000BA0B0000}"/>
    <cellStyle name="Примечание 5 7 2" xfId="2998" xr:uid="{00000000-0005-0000-0000-0000BB0B0000}"/>
    <cellStyle name="Примечание 5 7 3" xfId="2999" xr:uid="{00000000-0005-0000-0000-0000BC0B0000}"/>
    <cellStyle name="Примечание 5 8" xfId="3000" xr:uid="{00000000-0005-0000-0000-0000BD0B0000}"/>
    <cellStyle name="Примечание 5 8 2" xfId="3001" xr:uid="{00000000-0005-0000-0000-0000BE0B0000}"/>
    <cellStyle name="Примечание 5 8 3" xfId="3002" xr:uid="{00000000-0005-0000-0000-0000BF0B0000}"/>
    <cellStyle name="Примечание 5 9" xfId="3003" xr:uid="{00000000-0005-0000-0000-0000C00B0000}"/>
    <cellStyle name="Примечание 5 9 2" xfId="3004" xr:uid="{00000000-0005-0000-0000-0000C10B0000}"/>
    <cellStyle name="Примечание 5 9 3" xfId="3005" xr:uid="{00000000-0005-0000-0000-0000C20B0000}"/>
    <cellStyle name="Примечание 6" xfId="3006" xr:uid="{00000000-0005-0000-0000-0000C30B0000}"/>
    <cellStyle name="Примечание 6 10" xfId="3007" xr:uid="{00000000-0005-0000-0000-0000C40B0000}"/>
    <cellStyle name="Примечание 6 2" xfId="3008" xr:uid="{00000000-0005-0000-0000-0000C50B0000}"/>
    <cellStyle name="Примечание 6 2 2" xfId="3009" xr:uid="{00000000-0005-0000-0000-0000C60B0000}"/>
    <cellStyle name="Примечание 6 2 2 2" xfId="3010" xr:uid="{00000000-0005-0000-0000-0000C70B0000}"/>
    <cellStyle name="Примечание 6 2 2 2 2" xfId="3011" xr:uid="{00000000-0005-0000-0000-0000C80B0000}"/>
    <cellStyle name="Примечание 6 2 2 2 3" xfId="3012" xr:uid="{00000000-0005-0000-0000-0000C90B0000}"/>
    <cellStyle name="Примечание 6 2 2 3" xfId="3013" xr:uid="{00000000-0005-0000-0000-0000CA0B0000}"/>
    <cellStyle name="Примечание 6 2 2 3 2" xfId="3014" xr:uid="{00000000-0005-0000-0000-0000CB0B0000}"/>
    <cellStyle name="Примечание 6 2 2 3 3" xfId="3015" xr:uid="{00000000-0005-0000-0000-0000CC0B0000}"/>
    <cellStyle name="Примечание 6 2 2 4" xfId="3016" xr:uid="{00000000-0005-0000-0000-0000CD0B0000}"/>
    <cellStyle name="Примечание 6 2 2 4 2" xfId="3017" xr:uid="{00000000-0005-0000-0000-0000CE0B0000}"/>
    <cellStyle name="Примечание 6 2 2 4 3" xfId="3018" xr:uid="{00000000-0005-0000-0000-0000CF0B0000}"/>
    <cellStyle name="Примечание 6 2 2 5" xfId="3019" xr:uid="{00000000-0005-0000-0000-0000D00B0000}"/>
    <cellStyle name="Примечание 6 2 2 6" xfId="3020" xr:uid="{00000000-0005-0000-0000-0000D10B0000}"/>
    <cellStyle name="Примечание 6 2 3" xfId="3021" xr:uid="{00000000-0005-0000-0000-0000D20B0000}"/>
    <cellStyle name="Примечание 6 2 3 2" xfId="3022" xr:uid="{00000000-0005-0000-0000-0000D30B0000}"/>
    <cellStyle name="Примечание 6 2 3 2 2" xfId="3023" xr:uid="{00000000-0005-0000-0000-0000D40B0000}"/>
    <cellStyle name="Примечание 6 2 3 2 3" xfId="3024" xr:uid="{00000000-0005-0000-0000-0000D50B0000}"/>
    <cellStyle name="Примечание 6 2 3 3" xfId="3025" xr:uid="{00000000-0005-0000-0000-0000D60B0000}"/>
    <cellStyle name="Примечание 6 2 3 3 2" xfId="3026" xr:uid="{00000000-0005-0000-0000-0000D70B0000}"/>
    <cellStyle name="Примечание 6 2 3 3 3" xfId="3027" xr:uid="{00000000-0005-0000-0000-0000D80B0000}"/>
    <cellStyle name="Примечание 6 2 3 4" xfId="3028" xr:uid="{00000000-0005-0000-0000-0000D90B0000}"/>
    <cellStyle name="Примечание 6 2 3 4 2" xfId="3029" xr:uid="{00000000-0005-0000-0000-0000DA0B0000}"/>
    <cellStyle name="Примечание 6 2 3 4 3" xfId="3030" xr:uid="{00000000-0005-0000-0000-0000DB0B0000}"/>
    <cellStyle name="Примечание 6 2 3 5" xfId="3031" xr:uid="{00000000-0005-0000-0000-0000DC0B0000}"/>
    <cellStyle name="Примечание 6 2 3 6" xfId="3032" xr:uid="{00000000-0005-0000-0000-0000DD0B0000}"/>
    <cellStyle name="Примечание 6 2 4" xfId="3033" xr:uid="{00000000-0005-0000-0000-0000DE0B0000}"/>
    <cellStyle name="Примечание 6 2 4 2" xfId="3034" xr:uid="{00000000-0005-0000-0000-0000DF0B0000}"/>
    <cellStyle name="Примечание 6 2 4 2 2" xfId="3035" xr:uid="{00000000-0005-0000-0000-0000E00B0000}"/>
    <cellStyle name="Примечание 6 2 4 2 3" xfId="3036" xr:uid="{00000000-0005-0000-0000-0000E10B0000}"/>
    <cellStyle name="Примечание 6 2 4 3" xfId="3037" xr:uid="{00000000-0005-0000-0000-0000E20B0000}"/>
    <cellStyle name="Примечание 6 2 4 3 2" xfId="3038" xr:uid="{00000000-0005-0000-0000-0000E30B0000}"/>
    <cellStyle name="Примечание 6 2 4 3 3" xfId="3039" xr:uid="{00000000-0005-0000-0000-0000E40B0000}"/>
    <cellStyle name="Примечание 6 2 4 4" xfId="3040" xr:uid="{00000000-0005-0000-0000-0000E50B0000}"/>
    <cellStyle name="Примечание 6 2 4 4 2" xfId="3041" xr:uid="{00000000-0005-0000-0000-0000E60B0000}"/>
    <cellStyle name="Примечание 6 2 4 4 3" xfId="3042" xr:uid="{00000000-0005-0000-0000-0000E70B0000}"/>
    <cellStyle name="Примечание 6 2 4 5" xfId="3043" xr:uid="{00000000-0005-0000-0000-0000E80B0000}"/>
    <cellStyle name="Примечание 6 2 4 6" xfId="3044" xr:uid="{00000000-0005-0000-0000-0000E90B0000}"/>
    <cellStyle name="Примечание 6 2 5" xfId="3045" xr:uid="{00000000-0005-0000-0000-0000EA0B0000}"/>
    <cellStyle name="Примечание 6 2 5 2" xfId="3046" xr:uid="{00000000-0005-0000-0000-0000EB0B0000}"/>
    <cellStyle name="Примечание 6 2 5 3" xfId="3047" xr:uid="{00000000-0005-0000-0000-0000EC0B0000}"/>
    <cellStyle name="Примечание 6 2 6" xfId="3048" xr:uid="{00000000-0005-0000-0000-0000ED0B0000}"/>
    <cellStyle name="Примечание 6 2 6 2" xfId="3049" xr:uid="{00000000-0005-0000-0000-0000EE0B0000}"/>
    <cellStyle name="Примечание 6 2 6 3" xfId="3050" xr:uid="{00000000-0005-0000-0000-0000EF0B0000}"/>
    <cellStyle name="Примечание 6 2 7" xfId="3051" xr:uid="{00000000-0005-0000-0000-0000F00B0000}"/>
    <cellStyle name="Примечание 6 2 7 2" xfId="3052" xr:uid="{00000000-0005-0000-0000-0000F10B0000}"/>
    <cellStyle name="Примечание 6 2 7 3" xfId="3053" xr:uid="{00000000-0005-0000-0000-0000F20B0000}"/>
    <cellStyle name="Примечание 6 2 8" xfId="3054" xr:uid="{00000000-0005-0000-0000-0000F30B0000}"/>
    <cellStyle name="Примечание 6 2 9" xfId="3055" xr:uid="{00000000-0005-0000-0000-0000F40B0000}"/>
    <cellStyle name="Примечание 6 3" xfId="3056" xr:uid="{00000000-0005-0000-0000-0000F50B0000}"/>
    <cellStyle name="Примечание 6 3 2" xfId="3057" xr:uid="{00000000-0005-0000-0000-0000F60B0000}"/>
    <cellStyle name="Примечание 6 3 2 2" xfId="3058" xr:uid="{00000000-0005-0000-0000-0000F70B0000}"/>
    <cellStyle name="Примечание 6 3 2 3" xfId="3059" xr:uid="{00000000-0005-0000-0000-0000F80B0000}"/>
    <cellStyle name="Примечание 6 3 3" xfId="3060" xr:uid="{00000000-0005-0000-0000-0000F90B0000}"/>
    <cellStyle name="Примечание 6 3 3 2" xfId="3061" xr:uid="{00000000-0005-0000-0000-0000FA0B0000}"/>
    <cellStyle name="Примечание 6 3 3 3" xfId="3062" xr:uid="{00000000-0005-0000-0000-0000FB0B0000}"/>
    <cellStyle name="Примечание 6 3 4" xfId="3063" xr:uid="{00000000-0005-0000-0000-0000FC0B0000}"/>
    <cellStyle name="Примечание 6 3 4 2" xfId="3064" xr:uid="{00000000-0005-0000-0000-0000FD0B0000}"/>
    <cellStyle name="Примечание 6 3 4 3" xfId="3065" xr:uid="{00000000-0005-0000-0000-0000FE0B0000}"/>
    <cellStyle name="Примечание 6 3 5" xfId="3066" xr:uid="{00000000-0005-0000-0000-0000FF0B0000}"/>
    <cellStyle name="Примечание 6 3 6" xfId="3067" xr:uid="{00000000-0005-0000-0000-0000000C0000}"/>
    <cellStyle name="Примечание 6 4" xfId="3068" xr:uid="{00000000-0005-0000-0000-0000010C0000}"/>
    <cellStyle name="Примечание 6 4 2" xfId="3069" xr:uid="{00000000-0005-0000-0000-0000020C0000}"/>
    <cellStyle name="Примечание 6 4 2 2" xfId="3070" xr:uid="{00000000-0005-0000-0000-0000030C0000}"/>
    <cellStyle name="Примечание 6 4 2 3" xfId="3071" xr:uid="{00000000-0005-0000-0000-0000040C0000}"/>
    <cellStyle name="Примечание 6 4 3" xfId="3072" xr:uid="{00000000-0005-0000-0000-0000050C0000}"/>
    <cellStyle name="Примечание 6 4 3 2" xfId="3073" xr:uid="{00000000-0005-0000-0000-0000060C0000}"/>
    <cellStyle name="Примечание 6 4 3 3" xfId="3074" xr:uid="{00000000-0005-0000-0000-0000070C0000}"/>
    <cellStyle name="Примечание 6 4 4" xfId="3075" xr:uid="{00000000-0005-0000-0000-0000080C0000}"/>
    <cellStyle name="Примечание 6 4 4 2" xfId="3076" xr:uid="{00000000-0005-0000-0000-0000090C0000}"/>
    <cellStyle name="Примечание 6 4 4 3" xfId="3077" xr:uid="{00000000-0005-0000-0000-00000A0C0000}"/>
    <cellStyle name="Примечание 6 4 5" xfId="3078" xr:uid="{00000000-0005-0000-0000-00000B0C0000}"/>
    <cellStyle name="Примечание 6 4 6" xfId="3079" xr:uid="{00000000-0005-0000-0000-00000C0C0000}"/>
    <cellStyle name="Примечание 6 5" xfId="3080" xr:uid="{00000000-0005-0000-0000-00000D0C0000}"/>
    <cellStyle name="Примечание 6 5 2" xfId="3081" xr:uid="{00000000-0005-0000-0000-00000E0C0000}"/>
    <cellStyle name="Примечание 6 5 2 2" xfId="3082" xr:uid="{00000000-0005-0000-0000-00000F0C0000}"/>
    <cellStyle name="Примечание 6 5 2 3" xfId="3083" xr:uid="{00000000-0005-0000-0000-0000100C0000}"/>
    <cellStyle name="Примечание 6 5 3" xfId="3084" xr:uid="{00000000-0005-0000-0000-0000110C0000}"/>
    <cellStyle name="Примечание 6 5 3 2" xfId="3085" xr:uid="{00000000-0005-0000-0000-0000120C0000}"/>
    <cellStyle name="Примечание 6 5 3 3" xfId="3086" xr:uid="{00000000-0005-0000-0000-0000130C0000}"/>
    <cellStyle name="Примечание 6 5 4" xfId="3087" xr:uid="{00000000-0005-0000-0000-0000140C0000}"/>
    <cellStyle name="Примечание 6 5 4 2" xfId="3088" xr:uid="{00000000-0005-0000-0000-0000150C0000}"/>
    <cellStyle name="Примечание 6 5 4 3" xfId="3089" xr:uid="{00000000-0005-0000-0000-0000160C0000}"/>
    <cellStyle name="Примечание 6 5 5" xfId="3090" xr:uid="{00000000-0005-0000-0000-0000170C0000}"/>
    <cellStyle name="Примечание 6 5 6" xfId="3091" xr:uid="{00000000-0005-0000-0000-0000180C0000}"/>
    <cellStyle name="Примечание 6 6" xfId="3092" xr:uid="{00000000-0005-0000-0000-0000190C0000}"/>
    <cellStyle name="Примечание 6 6 2" xfId="3093" xr:uid="{00000000-0005-0000-0000-00001A0C0000}"/>
    <cellStyle name="Примечание 6 6 3" xfId="3094" xr:uid="{00000000-0005-0000-0000-00001B0C0000}"/>
    <cellStyle name="Примечание 6 7" xfId="3095" xr:uid="{00000000-0005-0000-0000-00001C0C0000}"/>
    <cellStyle name="Примечание 6 7 2" xfId="3096" xr:uid="{00000000-0005-0000-0000-00001D0C0000}"/>
    <cellStyle name="Примечание 6 7 3" xfId="3097" xr:uid="{00000000-0005-0000-0000-00001E0C0000}"/>
    <cellStyle name="Примечание 6 8" xfId="3098" xr:uid="{00000000-0005-0000-0000-00001F0C0000}"/>
    <cellStyle name="Примечание 6 8 2" xfId="3099" xr:uid="{00000000-0005-0000-0000-0000200C0000}"/>
    <cellStyle name="Примечание 6 8 3" xfId="3100" xr:uid="{00000000-0005-0000-0000-0000210C0000}"/>
    <cellStyle name="Примечание 6 9" xfId="3101" xr:uid="{00000000-0005-0000-0000-0000220C0000}"/>
    <cellStyle name="Примечание 7" xfId="3102" xr:uid="{00000000-0005-0000-0000-0000230C0000}"/>
    <cellStyle name="Примечание 7 2" xfId="3103" xr:uid="{00000000-0005-0000-0000-0000240C0000}"/>
    <cellStyle name="Примечание 7 2 2" xfId="3104" xr:uid="{00000000-0005-0000-0000-0000250C0000}"/>
    <cellStyle name="Примечание 7 2 2 2" xfId="3105" xr:uid="{00000000-0005-0000-0000-0000260C0000}"/>
    <cellStyle name="Примечание 7 2 2 3" xfId="3106" xr:uid="{00000000-0005-0000-0000-0000270C0000}"/>
    <cellStyle name="Примечание 7 2 3" xfId="3107" xr:uid="{00000000-0005-0000-0000-0000280C0000}"/>
    <cellStyle name="Примечание 7 2 3 2" xfId="3108" xr:uid="{00000000-0005-0000-0000-0000290C0000}"/>
    <cellStyle name="Примечание 7 2 3 3" xfId="3109" xr:uid="{00000000-0005-0000-0000-00002A0C0000}"/>
    <cellStyle name="Примечание 7 2 4" xfId="3110" xr:uid="{00000000-0005-0000-0000-00002B0C0000}"/>
    <cellStyle name="Примечание 7 2 4 2" xfId="3111" xr:uid="{00000000-0005-0000-0000-00002C0C0000}"/>
    <cellStyle name="Примечание 7 2 4 3" xfId="3112" xr:uid="{00000000-0005-0000-0000-00002D0C0000}"/>
    <cellStyle name="Примечание 7 2 5" xfId="3113" xr:uid="{00000000-0005-0000-0000-00002E0C0000}"/>
    <cellStyle name="Примечание 7 2 6" xfId="3114" xr:uid="{00000000-0005-0000-0000-00002F0C0000}"/>
    <cellStyle name="Примечание 7 3" xfId="3115" xr:uid="{00000000-0005-0000-0000-0000300C0000}"/>
    <cellStyle name="Примечание 7 3 2" xfId="3116" xr:uid="{00000000-0005-0000-0000-0000310C0000}"/>
    <cellStyle name="Примечание 7 3 2 2" xfId="3117" xr:uid="{00000000-0005-0000-0000-0000320C0000}"/>
    <cellStyle name="Примечание 7 3 2 3" xfId="3118" xr:uid="{00000000-0005-0000-0000-0000330C0000}"/>
    <cellStyle name="Примечание 7 3 3" xfId="3119" xr:uid="{00000000-0005-0000-0000-0000340C0000}"/>
    <cellStyle name="Примечание 7 3 3 2" xfId="3120" xr:uid="{00000000-0005-0000-0000-0000350C0000}"/>
    <cellStyle name="Примечание 7 3 3 3" xfId="3121" xr:uid="{00000000-0005-0000-0000-0000360C0000}"/>
    <cellStyle name="Примечание 7 3 4" xfId="3122" xr:uid="{00000000-0005-0000-0000-0000370C0000}"/>
    <cellStyle name="Примечание 7 3 4 2" xfId="3123" xr:uid="{00000000-0005-0000-0000-0000380C0000}"/>
    <cellStyle name="Примечание 7 3 4 3" xfId="3124" xr:uid="{00000000-0005-0000-0000-0000390C0000}"/>
    <cellStyle name="Примечание 7 3 5" xfId="3125" xr:uid="{00000000-0005-0000-0000-00003A0C0000}"/>
    <cellStyle name="Примечание 7 3 6" xfId="3126" xr:uid="{00000000-0005-0000-0000-00003B0C0000}"/>
    <cellStyle name="Примечание 7 4" xfId="3127" xr:uid="{00000000-0005-0000-0000-00003C0C0000}"/>
    <cellStyle name="Примечание 7 4 2" xfId="3128" xr:uid="{00000000-0005-0000-0000-00003D0C0000}"/>
    <cellStyle name="Примечание 7 4 2 2" xfId="3129" xr:uid="{00000000-0005-0000-0000-00003E0C0000}"/>
    <cellStyle name="Примечание 7 4 2 3" xfId="3130" xr:uid="{00000000-0005-0000-0000-00003F0C0000}"/>
    <cellStyle name="Примечание 7 4 3" xfId="3131" xr:uid="{00000000-0005-0000-0000-0000400C0000}"/>
    <cellStyle name="Примечание 7 4 3 2" xfId="3132" xr:uid="{00000000-0005-0000-0000-0000410C0000}"/>
    <cellStyle name="Примечание 7 4 3 3" xfId="3133" xr:uid="{00000000-0005-0000-0000-0000420C0000}"/>
    <cellStyle name="Примечание 7 4 4" xfId="3134" xr:uid="{00000000-0005-0000-0000-0000430C0000}"/>
    <cellStyle name="Примечание 7 4 4 2" xfId="3135" xr:uid="{00000000-0005-0000-0000-0000440C0000}"/>
    <cellStyle name="Примечание 7 4 4 3" xfId="3136" xr:uid="{00000000-0005-0000-0000-0000450C0000}"/>
    <cellStyle name="Примечание 7 4 5" xfId="3137" xr:uid="{00000000-0005-0000-0000-0000460C0000}"/>
    <cellStyle name="Примечание 7 4 6" xfId="3138" xr:uid="{00000000-0005-0000-0000-0000470C0000}"/>
    <cellStyle name="Примечание 7 5" xfId="3139" xr:uid="{00000000-0005-0000-0000-0000480C0000}"/>
    <cellStyle name="Примечание 7 5 2" xfId="3140" xr:uid="{00000000-0005-0000-0000-0000490C0000}"/>
    <cellStyle name="Примечание 7 5 3" xfId="3141" xr:uid="{00000000-0005-0000-0000-00004A0C0000}"/>
    <cellStyle name="Примечание 7 6" xfId="3142" xr:uid="{00000000-0005-0000-0000-00004B0C0000}"/>
    <cellStyle name="Примечание 7 6 2" xfId="3143" xr:uid="{00000000-0005-0000-0000-00004C0C0000}"/>
    <cellStyle name="Примечание 7 6 3" xfId="3144" xr:uid="{00000000-0005-0000-0000-00004D0C0000}"/>
    <cellStyle name="Примечание 7 7" xfId="3145" xr:uid="{00000000-0005-0000-0000-00004E0C0000}"/>
    <cellStyle name="Примечание 7 7 2" xfId="3146" xr:uid="{00000000-0005-0000-0000-00004F0C0000}"/>
    <cellStyle name="Примечание 7 7 3" xfId="3147" xr:uid="{00000000-0005-0000-0000-0000500C0000}"/>
    <cellStyle name="Примечание 7 8" xfId="3148" xr:uid="{00000000-0005-0000-0000-0000510C0000}"/>
    <cellStyle name="Примечание 7 9" xfId="3149" xr:uid="{00000000-0005-0000-0000-0000520C0000}"/>
    <cellStyle name="Примечание 8" xfId="3150" xr:uid="{00000000-0005-0000-0000-0000530C0000}"/>
    <cellStyle name="Примечание 8 2" xfId="3151" xr:uid="{00000000-0005-0000-0000-0000540C0000}"/>
    <cellStyle name="Примечание 8 2 2" xfId="3152" xr:uid="{00000000-0005-0000-0000-0000550C0000}"/>
    <cellStyle name="Примечание 8 2 3" xfId="3153" xr:uid="{00000000-0005-0000-0000-0000560C0000}"/>
    <cellStyle name="Примечание 8 3" xfId="3154" xr:uid="{00000000-0005-0000-0000-0000570C0000}"/>
    <cellStyle name="Примечание 8 3 2" xfId="3155" xr:uid="{00000000-0005-0000-0000-0000580C0000}"/>
    <cellStyle name="Примечание 8 3 3" xfId="3156" xr:uid="{00000000-0005-0000-0000-0000590C0000}"/>
    <cellStyle name="Процентный" xfId="3226" builtinId="5"/>
    <cellStyle name="Процентный 2" xfId="3157" xr:uid="{00000000-0005-0000-0000-00005B0C0000}"/>
    <cellStyle name="Процентный 2 2" xfId="3158" xr:uid="{00000000-0005-0000-0000-00005C0C0000}"/>
    <cellStyle name="Процентный 2 2 2" xfId="3159" xr:uid="{00000000-0005-0000-0000-00005D0C0000}"/>
    <cellStyle name="Процентный 2 3" xfId="3160" xr:uid="{00000000-0005-0000-0000-00005E0C0000}"/>
    <cellStyle name="Процентный 2 4" xfId="3161" xr:uid="{00000000-0005-0000-0000-00005F0C0000}"/>
    <cellStyle name="Процентный 2 5" xfId="3224" xr:uid="{00000000-0005-0000-0000-0000600C0000}"/>
    <cellStyle name="Процентный 3" xfId="3162" xr:uid="{00000000-0005-0000-0000-0000610C0000}"/>
    <cellStyle name="Процентный 3 2" xfId="3163" xr:uid="{00000000-0005-0000-0000-0000620C0000}"/>
    <cellStyle name="Процентный 3 2 2" xfId="3164" xr:uid="{00000000-0005-0000-0000-0000630C0000}"/>
    <cellStyle name="Процентный 3 2 2 2" xfId="3165" xr:uid="{00000000-0005-0000-0000-0000640C0000}"/>
    <cellStyle name="Процентный 3 2 3" xfId="3166" xr:uid="{00000000-0005-0000-0000-0000650C0000}"/>
    <cellStyle name="Процентный 3 3" xfId="3167" xr:uid="{00000000-0005-0000-0000-0000660C0000}"/>
    <cellStyle name="Процентный 3 3 2" xfId="3168" xr:uid="{00000000-0005-0000-0000-0000670C0000}"/>
    <cellStyle name="Процентный 3 4" xfId="3169" xr:uid="{00000000-0005-0000-0000-0000680C0000}"/>
    <cellStyle name="Процентный 3 5" xfId="3170" xr:uid="{00000000-0005-0000-0000-0000690C0000}"/>
    <cellStyle name="Процентный 4" xfId="3171" xr:uid="{00000000-0005-0000-0000-00006A0C0000}"/>
    <cellStyle name="Райцентр" xfId="3172" xr:uid="{00000000-0005-0000-0000-00006B0C0000}"/>
    <cellStyle name="Стандартный" xfId="3173" xr:uid="{00000000-0005-0000-0000-00006C0C0000}"/>
    <cellStyle name="Стиль 1" xfId="3174" xr:uid="{00000000-0005-0000-0000-00006D0C0000}"/>
    <cellStyle name="Стиль 1 2" xfId="3175" xr:uid="{00000000-0005-0000-0000-00006E0C0000}"/>
    <cellStyle name="Стиль 1 2 2" xfId="3176" xr:uid="{00000000-0005-0000-0000-00006F0C0000}"/>
    <cellStyle name="Стиль 1_ТЭО проекта 75% PON в СПб_v7_300610_принят за базу (75%)" xfId="3177" xr:uid="{00000000-0005-0000-0000-0000700C0000}"/>
    <cellStyle name="Титул" xfId="3229" xr:uid="{00000000-0005-0000-0000-0000710C0000}"/>
    <cellStyle name="Тысячи [0]_PR_KOMPL" xfId="3178" xr:uid="{00000000-0005-0000-0000-0000720C0000}"/>
    <cellStyle name="Тысячи_Абонемент" xfId="3179" xr:uid="{00000000-0005-0000-0000-0000730C0000}"/>
    <cellStyle name="Финансовый" xfId="3225" builtinId="3"/>
    <cellStyle name="Финансовый 2" xfId="3" xr:uid="{00000000-0005-0000-0000-0000750C0000}"/>
    <cellStyle name="Финансовый 2 2" xfId="3180" xr:uid="{00000000-0005-0000-0000-0000760C0000}"/>
    <cellStyle name="Финансовый 3" xfId="3181" xr:uid="{00000000-0005-0000-0000-0000770C0000}"/>
    <cellStyle name="Финансовый 3 2" xfId="3182" xr:uid="{00000000-0005-0000-0000-0000780C0000}"/>
    <cellStyle name="Финансовый 3 2 2" xfId="3183" xr:uid="{00000000-0005-0000-0000-0000790C0000}"/>
    <cellStyle name="Финансовый 3 2 2 2" xfId="3184" xr:uid="{00000000-0005-0000-0000-00007A0C0000}"/>
    <cellStyle name="Финансовый 3 2 3" xfId="3185" xr:uid="{00000000-0005-0000-0000-00007B0C0000}"/>
    <cellStyle name="Финансовый 3 3" xfId="3186" xr:uid="{00000000-0005-0000-0000-00007C0C0000}"/>
    <cellStyle name="Финансовый 3 3 2" xfId="3187" xr:uid="{00000000-0005-0000-0000-00007D0C0000}"/>
    <cellStyle name="Финансовый 3 4" xfId="3188" xr:uid="{00000000-0005-0000-0000-00007E0C0000}"/>
    <cellStyle name="Финансовый 3 5" xfId="3189" xr:uid="{00000000-0005-0000-0000-00007F0C0000}"/>
    <cellStyle name="Финансовый 4" xfId="3190" xr:uid="{00000000-0005-0000-0000-0000800C0000}"/>
    <cellStyle name="Финансовый 4 2" xfId="3191" xr:uid="{00000000-0005-0000-0000-0000810C0000}"/>
    <cellStyle name="Финансовый 5" xfId="3192" xr:uid="{00000000-0005-0000-0000-0000820C0000}"/>
    <cellStyle name="Финансовый 5 2" xfId="3193" xr:uid="{00000000-0005-0000-0000-0000830C0000}"/>
    <cellStyle name="Финансовый 5 3" xfId="3194" xr:uid="{00000000-0005-0000-0000-0000840C0000}"/>
    <cellStyle name="Финансовый 6" xfId="3195" xr:uid="{00000000-0005-0000-0000-0000850C0000}"/>
    <cellStyle name="Финансовый 6 2" xfId="3196" xr:uid="{00000000-0005-0000-0000-0000860C0000}"/>
    <cellStyle name="Финансовый 7" xfId="3197" xr:uid="{00000000-0005-0000-0000-0000870C0000}"/>
    <cellStyle name="Финансовый 8" xfId="3198" xr:uid="{00000000-0005-0000-0000-0000880C0000}"/>
    <cellStyle name="Хвост" xfId="3227" xr:uid="{00000000-0005-0000-0000-0000890C0000}"/>
    <cellStyle name="э" xfId="3199" xr:uid="{00000000-0005-0000-0000-00008A0C0000}"/>
    <cellStyle name="э__ОборотКЗП2 для БО" xfId="3200" xr:uid="{00000000-0005-0000-0000-00008B0C0000}"/>
    <cellStyle name="э__ОборотКЗП2 для БО_Invest_11_факт_март_для КОРРЕКТИРОВКИ ПЛАНА" xfId="3201" xr:uid="{00000000-0005-0000-0000-00008C0C0000}"/>
    <cellStyle name="э_Inv" xfId="3202" xr:uid="{00000000-0005-0000-0000-00008D0C0000}"/>
    <cellStyle name="э_Inv_Invest_11_факт_март_для КОРРЕКТИРОВКИ ПЛАНА" xfId="3203" xr:uid="{00000000-0005-0000-0000-00008E0C0000}"/>
    <cellStyle name="э_Invest_11_факт_март_для КОРРЕКТИРОВКИ ПЛАНА" xfId="3204" xr:uid="{00000000-0005-0000-0000-00008F0C0000}"/>
    <cellStyle name="э_PL вспомог" xfId="3205" xr:uid="{00000000-0005-0000-0000-0000900C0000}"/>
    <cellStyle name="э_PL_СЗТ_2007_08.11.06" xfId="3206" xr:uid="{00000000-0005-0000-0000-0000910C0000}"/>
    <cellStyle name="э_PL_СЗТ_2007_08.11.06_Invest_11_факт_март_для КОРРЕКТИРОВКИ ПЛАНА" xfId="3207" xr:uid="{00000000-0005-0000-0000-0000920C0000}"/>
    <cellStyle name="э_PL_СЗТ_4 кв 2006" xfId="3208" xr:uid="{00000000-0005-0000-0000-0000930C0000}"/>
    <cellStyle name="э_PL_СЗТ_4 кв 2006_Invest_11_факт_март_для КОРРЕКТИРОВКИ ПЛАНА" xfId="3209" xr:uid="{00000000-0005-0000-0000-0000940C0000}"/>
    <cellStyle name="э_Бюджет_2007" xfId="3210" xr:uid="{00000000-0005-0000-0000-0000950C0000}"/>
    <cellStyle name="э_Бюджет_2007_Invest_11_факт_март_для КОРРЕКТИРОВКИ ПЛАНА" xfId="3211" xr:uid="{00000000-0005-0000-0000-0000960C0000}"/>
    <cellStyle name="э_ГД" xfId="3212" xr:uid="{00000000-0005-0000-0000-0000970C0000}"/>
    <cellStyle name="э_ГД_Invest_11_факт_март_для КОРРЕКТИРОВКИ ПЛАНА" xfId="3213" xr:uid="{00000000-0005-0000-0000-0000980C0000}"/>
    <cellStyle name="э_Кор-ки Инв" xfId="3214" xr:uid="{00000000-0005-0000-0000-0000990C0000}"/>
    <cellStyle name="э_Кор-ки Инв_Invest_11_факт_март_для КОРРЕКТИРОВКИ ПЛАНА" xfId="3215" xr:uid="{00000000-0005-0000-0000-00009A0C0000}"/>
    <cellStyle name="э_СЗТ" xfId="3216" xr:uid="{00000000-0005-0000-0000-00009B0C0000}"/>
    <cellStyle name="э_СЗТ_Invest_11_факт_март_для КОРРЕКТИРОВКИ ПЛАНА" xfId="3217" xr:uid="{00000000-0005-0000-0000-00009C0C0000}"/>
    <cellStyle name="э_Утвержденный бюджет 27.06.05_ПТС" xfId="3218" xr:uid="{00000000-0005-0000-0000-00009D0C0000}"/>
    <cellStyle name="э_Утвержденный бюджет 27.06.05_ПТС_Invest_11_факт_март_для КОРРЕКТИРОВКИ ПЛАНА" xfId="3219" xr:uid="{00000000-0005-0000-0000-00009E0C0000}"/>
    <cellStyle name="常规_IRAQI" xfId="3220" xr:uid="{00000000-0005-0000-0000-00009F0C0000}"/>
  </cellStyles>
  <dxfs count="0"/>
  <tableStyles count="0" defaultTableStyle="TableStyleMedium2" defaultPivotStyle="PivotStyleLight16"/>
  <colors>
    <mruColors>
      <color rgb="FF6CA1B4"/>
      <color rgb="FFFB9E2B"/>
      <color rgb="FF0000FF"/>
      <color rgb="FFF7F9F4"/>
      <color rgb="FFCCECFF"/>
      <color rgb="FFBDBDBD"/>
      <color rgb="FF232323"/>
      <color rgb="FF00FF00"/>
      <color rgb="FFFEF4E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468086</xdr:colOff>
      <xdr:row>6</xdr:row>
      <xdr:rowOff>54428</xdr:rowOff>
    </xdr:from>
    <xdr:to>
      <xdr:col>7</xdr:col>
      <xdr:colOff>2820763</xdr:colOff>
      <xdr:row>8</xdr:row>
      <xdr:rowOff>43541</xdr:rowOff>
    </xdr:to>
    <xdr:sp macro="" textlink="">
      <xdr:nvSpPr>
        <xdr:cNvPr id="2" name="Прямоугольная выноска 17">
          <a:extLst>
            <a:ext uri="{FF2B5EF4-FFF2-40B4-BE49-F238E27FC236}">
              <a16:creationId xmlns:a16="http://schemas.microsoft.com/office/drawing/2014/main" id="{00000000-0008-0000-0200-000002000000}"/>
            </a:ext>
          </a:extLst>
        </xdr:cNvPr>
        <xdr:cNvSpPr/>
      </xdr:nvSpPr>
      <xdr:spPr>
        <a:xfrm>
          <a:off x="16942526" y="1700348"/>
          <a:ext cx="2352677" cy="552993"/>
        </a:xfrm>
        <a:prstGeom prst="wedgeRectCallout">
          <a:avLst>
            <a:gd name="adj1" fmla="val -65768"/>
            <a:gd name="adj2" fmla="val 917"/>
          </a:avLst>
        </a:prstGeom>
        <a:solidFill>
          <a:srgbClr val="FB9E2B"/>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ru-RU" sz="1050" b="1" i="1">
              <a:solidFill>
                <a:sysClr val="windowText" lastClr="000000"/>
              </a:solidFill>
            </a:rPr>
            <a:t>Ввести понижающий коэффициент для удельных расценок</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CA1B4"/>
    <pageSetUpPr fitToPage="1"/>
  </sheetPr>
  <dimension ref="A1:N482"/>
  <sheetViews>
    <sheetView showGridLines="0" tabSelected="1" topLeftCell="A463" zoomScale="60" zoomScaleNormal="60" zoomScaleSheetLayoutView="55" zoomScalePageLayoutView="50" workbookViewId="0">
      <selection activeCell="N482" sqref="N482"/>
    </sheetView>
  </sheetViews>
  <sheetFormatPr defaultColWidth="9.140625" defaultRowHeight="15.75" outlineLevelRow="1"/>
  <cols>
    <col min="1" max="1" width="9.7109375" style="28" customWidth="1"/>
    <col min="2" max="2" width="52.140625" style="28" customWidth="1"/>
    <col min="3" max="3" width="105.7109375" style="28" customWidth="1"/>
    <col min="4" max="4" width="12.7109375" style="29" customWidth="1"/>
    <col min="5" max="5" width="23.28515625" style="30" customWidth="1"/>
    <col min="6" max="6" width="18.7109375" style="29" customWidth="1"/>
    <col min="7" max="7" width="18.28515625" style="31" customWidth="1"/>
    <col min="8" max="8" width="42.7109375" style="29" customWidth="1"/>
    <col min="9" max="9" width="13.140625" style="4" customWidth="1"/>
    <col min="10" max="10" width="55.85546875" style="1" customWidth="1"/>
    <col min="11" max="11" width="14.140625" style="1" customWidth="1"/>
    <col min="12" max="13" width="9.140625" style="1"/>
    <col min="14" max="14" width="12.140625" style="1" customWidth="1"/>
    <col min="15" max="16384" width="9.140625" style="1"/>
  </cols>
  <sheetData>
    <row r="1" spans="1:9" s="2" customFormat="1">
      <c r="A1" s="28"/>
      <c r="B1" s="28"/>
      <c r="C1" s="28"/>
      <c r="D1" s="29"/>
      <c r="E1" s="30"/>
      <c r="F1" s="29"/>
      <c r="G1" s="31"/>
      <c r="H1" s="32" t="s">
        <v>1513</v>
      </c>
      <c r="I1" s="5"/>
    </row>
    <row r="2" spans="1:9" ht="23.25" customHeight="1">
      <c r="A2" s="379" t="s">
        <v>1512</v>
      </c>
      <c r="B2" s="380"/>
      <c r="C2" s="380"/>
      <c r="D2" s="380"/>
      <c r="E2" s="380"/>
      <c r="F2" s="380"/>
      <c r="G2" s="380"/>
      <c r="H2" s="381"/>
    </row>
    <row r="3" spans="1:9" ht="23.25" customHeight="1">
      <c r="A3" s="380"/>
      <c r="B3" s="380"/>
      <c r="C3" s="380"/>
      <c r="D3" s="380"/>
      <c r="E3" s="380"/>
      <c r="F3" s="380"/>
      <c r="G3" s="380"/>
      <c r="H3" s="381"/>
    </row>
    <row r="4" spans="1:9" ht="23.25" customHeight="1">
      <c r="A4" s="380"/>
      <c r="B4" s="380"/>
      <c r="C4" s="380"/>
      <c r="D4" s="380"/>
      <c r="E4" s="380"/>
      <c r="F4" s="380"/>
      <c r="G4" s="380"/>
      <c r="H4" s="381"/>
    </row>
    <row r="5" spans="1:9" ht="23.25" customHeight="1">
      <c r="A5" s="380"/>
      <c r="B5" s="380"/>
      <c r="C5" s="380"/>
      <c r="D5" s="380"/>
      <c r="E5" s="380"/>
      <c r="F5" s="380"/>
      <c r="G5" s="380"/>
      <c r="H5" s="381"/>
    </row>
    <row r="6" spans="1:9" ht="23.25" customHeight="1" thickBot="1">
      <c r="A6" s="382"/>
      <c r="B6" s="382"/>
      <c r="C6" s="382"/>
      <c r="D6" s="382"/>
      <c r="E6" s="382"/>
      <c r="F6" s="382"/>
      <c r="G6" s="382"/>
      <c r="H6" s="383"/>
    </row>
    <row r="7" spans="1:9" ht="11.45" customHeight="1" thickBot="1">
      <c r="A7" s="26"/>
      <c r="B7" s="26"/>
      <c r="C7" s="26"/>
      <c r="D7" s="26"/>
      <c r="E7" s="26"/>
      <c r="F7" s="26"/>
      <c r="G7" s="26"/>
      <c r="H7" s="26"/>
    </row>
    <row r="8" spans="1:9" ht="33" customHeight="1">
      <c r="A8" s="375" t="s">
        <v>227</v>
      </c>
      <c r="B8" s="26"/>
      <c r="C8" s="376" t="s">
        <v>1511</v>
      </c>
      <c r="D8" s="26"/>
      <c r="E8" s="26"/>
      <c r="F8" s="26"/>
      <c r="G8" s="377">
        <v>1</v>
      </c>
      <c r="H8" s="26"/>
    </row>
    <row r="9" spans="1:9" ht="9" customHeight="1">
      <c r="A9" s="26"/>
      <c r="B9" s="26"/>
      <c r="C9" s="27"/>
      <c r="D9" s="26"/>
      <c r="E9" s="26"/>
      <c r="F9" s="26"/>
      <c r="G9" s="26"/>
      <c r="H9" s="26"/>
    </row>
    <row r="10" spans="1:9" ht="76.150000000000006" customHeight="1">
      <c r="A10" s="57" t="s">
        <v>69</v>
      </c>
      <c r="B10" s="57" t="s">
        <v>65</v>
      </c>
      <c r="C10" s="57" t="s">
        <v>6</v>
      </c>
      <c r="D10" s="57" t="s">
        <v>0</v>
      </c>
      <c r="E10" s="58" t="s">
        <v>64</v>
      </c>
      <c r="F10" s="59"/>
      <c r="G10" s="60" t="s">
        <v>101</v>
      </c>
      <c r="H10" s="57" t="s">
        <v>62</v>
      </c>
    </row>
    <row r="11" spans="1:9" s="53" customFormat="1">
      <c r="A11" s="61">
        <v>1</v>
      </c>
      <c r="B11" s="61">
        <v>2</v>
      </c>
      <c r="C11" s="61">
        <v>3</v>
      </c>
      <c r="D11" s="61">
        <v>4</v>
      </c>
      <c r="E11" s="62">
        <v>5</v>
      </c>
      <c r="F11" s="61">
        <v>6</v>
      </c>
      <c r="G11" s="61">
        <v>7</v>
      </c>
      <c r="H11" s="61">
        <v>8</v>
      </c>
      <c r="I11" s="3"/>
    </row>
    <row r="12" spans="1:9" s="2" customFormat="1" ht="26.25" customHeight="1">
      <c r="A12" s="378" t="s">
        <v>810</v>
      </c>
      <c r="B12" s="378"/>
      <c r="C12" s="378"/>
      <c r="D12" s="63"/>
      <c r="E12" s="60"/>
      <c r="F12" s="63"/>
      <c r="G12" s="63"/>
      <c r="H12" s="63"/>
      <c r="I12" s="5"/>
    </row>
    <row r="13" spans="1:9" s="2" customFormat="1" ht="54.75" customHeight="1" outlineLevel="1">
      <c r="A13" s="384" t="s">
        <v>669</v>
      </c>
      <c r="B13" s="384"/>
      <c r="C13" s="384"/>
      <c r="D13" s="385" t="s">
        <v>605</v>
      </c>
      <c r="E13" s="385"/>
      <c r="F13" s="385"/>
      <c r="G13" s="385"/>
      <c r="H13" s="385"/>
      <c r="I13" s="5"/>
    </row>
    <row r="14" spans="1:9" s="2" customFormat="1" ht="120" customHeight="1" outlineLevel="1">
      <c r="A14" s="64" t="s">
        <v>9</v>
      </c>
      <c r="B14" s="65" t="s">
        <v>849</v>
      </c>
      <c r="C14" s="66" t="s">
        <v>857</v>
      </c>
      <c r="D14" s="67"/>
      <c r="E14" s="68"/>
      <c r="F14" s="69"/>
      <c r="G14" s="70"/>
      <c r="H14" s="71" t="s">
        <v>585</v>
      </c>
      <c r="I14" s="5"/>
    </row>
    <row r="15" spans="1:9" s="2" customFormat="1" ht="64.5" customHeight="1" outlineLevel="1">
      <c r="A15" s="72" t="s">
        <v>222</v>
      </c>
      <c r="B15" s="73" t="s">
        <v>853</v>
      </c>
      <c r="C15" s="386" t="s">
        <v>850</v>
      </c>
      <c r="D15" s="74" t="s">
        <v>223</v>
      </c>
      <c r="E15" s="75">
        <f>G8*1804.84</f>
        <v>1804.84</v>
      </c>
      <c r="F15" s="76"/>
      <c r="G15" s="75">
        <f>G8*331.72</f>
        <v>331.72</v>
      </c>
      <c r="H15" s="77"/>
      <c r="I15" s="5"/>
    </row>
    <row r="16" spans="1:9" s="2" customFormat="1" ht="62.25" customHeight="1" outlineLevel="1">
      <c r="A16" s="72" t="s">
        <v>224</v>
      </c>
      <c r="B16" s="73" t="s">
        <v>852</v>
      </c>
      <c r="C16" s="386"/>
      <c r="D16" s="74" t="s">
        <v>223</v>
      </c>
      <c r="E16" s="75">
        <f>G8*1606.14</f>
        <v>1606.14</v>
      </c>
      <c r="F16" s="76"/>
      <c r="G16" s="75">
        <f>G8*269.8</f>
        <v>269.8</v>
      </c>
      <c r="H16" s="77" t="s">
        <v>66</v>
      </c>
      <c r="I16" s="5"/>
    </row>
    <row r="17" spans="1:9" s="2" customFormat="1" ht="63.75" customHeight="1" outlineLevel="1">
      <c r="A17" s="72" t="s">
        <v>225</v>
      </c>
      <c r="B17" s="73" t="s">
        <v>851</v>
      </c>
      <c r="C17" s="386"/>
      <c r="D17" s="74" t="s">
        <v>223</v>
      </c>
      <c r="E17" s="75">
        <f>G8*1548.21</f>
        <v>1548.21</v>
      </c>
      <c r="F17" s="76"/>
      <c r="G17" s="75">
        <f>G8*248.53</f>
        <v>248.53</v>
      </c>
      <c r="H17" s="77" t="s">
        <v>66</v>
      </c>
      <c r="I17" s="5"/>
    </row>
    <row r="18" spans="1:9" s="2" customFormat="1" ht="102.75" customHeight="1" outlineLevel="1">
      <c r="A18" s="64" t="s">
        <v>226</v>
      </c>
      <c r="B18" s="78" t="s">
        <v>499</v>
      </c>
      <c r="C18" s="66" t="s">
        <v>856</v>
      </c>
      <c r="D18" s="79"/>
      <c r="E18" s="80"/>
      <c r="F18" s="81"/>
      <c r="G18" s="82"/>
      <c r="H18" s="71" t="s">
        <v>607</v>
      </c>
      <c r="I18" s="5"/>
    </row>
    <row r="19" spans="1:9" s="2" customFormat="1" ht="117" customHeight="1" outlineLevel="1">
      <c r="A19" s="72" t="s">
        <v>227</v>
      </c>
      <c r="B19" s="73" t="s">
        <v>854</v>
      </c>
      <c r="C19" s="310" t="s">
        <v>855</v>
      </c>
      <c r="D19" s="74" t="s">
        <v>223</v>
      </c>
      <c r="E19" s="75">
        <f>G8*2493.67</f>
        <v>2493.67</v>
      </c>
      <c r="F19" s="76"/>
      <c r="G19" s="83">
        <f>G8*293.91</f>
        <v>293.91000000000003</v>
      </c>
      <c r="H19" s="84" t="s">
        <v>734</v>
      </c>
      <c r="I19" s="5"/>
    </row>
    <row r="20" spans="1:9" s="2" customFormat="1" ht="48" customHeight="1" outlineLevel="1">
      <c r="A20" s="384" t="s">
        <v>668</v>
      </c>
      <c r="B20" s="384"/>
      <c r="C20" s="384"/>
      <c r="D20" s="387" t="s">
        <v>605</v>
      </c>
      <c r="E20" s="387"/>
      <c r="F20" s="387"/>
      <c r="G20" s="387"/>
      <c r="H20" s="387"/>
      <c r="I20" s="5"/>
    </row>
    <row r="21" spans="1:9" s="2" customFormat="1" ht="58.15" customHeight="1" outlineLevel="1">
      <c r="A21" s="85" t="s">
        <v>228</v>
      </c>
      <c r="B21" s="86" t="s">
        <v>606</v>
      </c>
      <c r="C21" s="87"/>
      <c r="D21" s="88"/>
      <c r="E21" s="89"/>
      <c r="F21" s="90"/>
      <c r="G21" s="91"/>
      <c r="H21" s="71" t="s">
        <v>585</v>
      </c>
      <c r="I21" s="5"/>
    </row>
    <row r="22" spans="1:9" s="2" customFormat="1" ht="54" customHeight="1" outlineLevel="1">
      <c r="A22" s="92" t="s">
        <v>229</v>
      </c>
      <c r="B22" s="93" t="s">
        <v>858</v>
      </c>
      <c r="C22" s="388" t="s">
        <v>860</v>
      </c>
      <c r="D22" s="94" t="s">
        <v>223</v>
      </c>
      <c r="E22" s="75">
        <f>G8*1961.97</f>
        <v>1961.97</v>
      </c>
      <c r="F22" s="76"/>
      <c r="G22" s="83">
        <f>G8*426.77</f>
        <v>426.77</v>
      </c>
      <c r="H22" s="95" t="s">
        <v>66</v>
      </c>
      <c r="I22" s="5"/>
    </row>
    <row r="23" spans="1:9" s="2" customFormat="1" ht="52.15" customHeight="1" outlineLevel="1">
      <c r="A23" s="92" t="s">
        <v>230</v>
      </c>
      <c r="B23" s="93" t="s">
        <v>859</v>
      </c>
      <c r="C23" s="388"/>
      <c r="D23" s="94" t="s">
        <v>223</v>
      </c>
      <c r="E23" s="75">
        <f>G8*1749.55</f>
        <v>1749.55</v>
      </c>
      <c r="F23" s="76"/>
      <c r="G23" s="83">
        <f>G8*342.86</f>
        <v>342.86</v>
      </c>
      <c r="H23" s="95" t="s">
        <v>66</v>
      </c>
      <c r="I23" s="5"/>
    </row>
    <row r="24" spans="1:9" s="2" customFormat="1" ht="26.25" customHeight="1">
      <c r="A24" s="378" t="s">
        <v>811</v>
      </c>
      <c r="B24" s="378"/>
      <c r="C24" s="378"/>
      <c r="D24" s="63"/>
      <c r="E24" s="96"/>
      <c r="F24" s="97"/>
      <c r="G24" s="98"/>
      <c r="H24" s="77"/>
      <c r="I24" s="5"/>
    </row>
    <row r="25" spans="1:9" s="2" customFormat="1" ht="48.6" customHeight="1" outlineLevel="1">
      <c r="A25" s="384" t="s">
        <v>748</v>
      </c>
      <c r="B25" s="384"/>
      <c r="C25" s="384"/>
      <c r="D25" s="389" t="s">
        <v>754</v>
      </c>
      <c r="E25" s="389"/>
      <c r="F25" s="389"/>
      <c r="G25" s="389"/>
      <c r="H25" s="389"/>
      <c r="I25" s="5"/>
    </row>
    <row r="26" spans="1:9" s="2" customFormat="1" ht="236.45" customHeight="1" outlineLevel="1">
      <c r="A26" s="99" t="s">
        <v>10</v>
      </c>
      <c r="B26" s="100" t="s">
        <v>861</v>
      </c>
      <c r="C26" s="101" t="s">
        <v>863</v>
      </c>
      <c r="D26" s="74" t="s">
        <v>236</v>
      </c>
      <c r="E26" s="75">
        <f>G8*2875.78</f>
        <v>2875.78</v>
      </c>
      <c r="F26" s="76"/>
      <c r="G26" s="83">
        <f>G8*311.23</f>
        <v>311.23</v>
      </c>
      <c r="H26" s="102" t="s">
        <v>586</v>
      </c>
      <c r="I26" s="3"/>
    </row>
    <row r="27" spans="1:9" s="2" customFormat="1" ht="151.9" customHeight="1" outlineLevel="1">
      <c r="A27" s="99" t="s">
        <v>11</v>
      </c>
      <c r="B27" s="100" t="s">
        <v>862</v>
      </c>
      <c r="C27" s="101" t="s">
        <v>864</v>
      </c>
      <c r="D27" s="74" t="s">
        <v>236</v>
      </c>
      <c r="E27" s="75">
        <f>G8*4948.44</f>
        <v>4948.4399999999996</v>
      </c>
      <c r="F27" s="76"/>
      <c r="G27" s="83">
        <f>G8*409.05</f>
        <v>409.05</v>
      </c>
      <c r="H27" s="103" t="s">
        <v>865</v>
      </c>
      <c r="I27" s="3"/>
    </row>
    <row r="28" spans="1:9" s="2" customFormat="1" ht="187.15" customHeight="1" outlineLevel="1">
      <c r="A28" s="99" t="s">
        <v>12</v>
      </c>
      <c r="B28" s="100" t="s">
        <v>503</v>
      </c>
      <c r="C28" s="101" t="s">
        <v>866</v>
      </c>
      <c r="D28" s="74" t="s">
        <v>236</v>
      </c>
      <c r="E28" s="75">
        <f>G8*3548.02</f>
        <v>3548.02</v>
      </c>
      <c r="F28" s="76"/>
      <c r="G28" s="83">
        <f>G8*155.78</f>
        <v>155.78</v>
      </c>
      <c r="H28" s="104" t="s">
        <v>608</v>
      </c>
      <c r="I28" s="3"/>
    </row>
    <row r="29" spans="1:9" s="2" customFormat="1" ht="107.25" customHeight="1" outlineLevel="1">
      <c r="A29" s="390" t="s">
        <v>867</v>
      </c>
      <c r="B29" s="390"/>
      <c r="C29" s="390"/>
      <c r="D29" s="390"/>
      <c r="E29" s="390"/>
      <c r="F29" s="390"/>
      <c r="G29" s="390"/>
      <c r="H29" s="390"/>
      <c r="I29" s="5"/>
    </row>
    <row r="30" spans="1:9" s="2" customFormat="1" ht="26.25" customHeight="1">
      <c r="A30" s="378" t="s">
        <v>812</v>
      </c>
      <c r="B30" s="378"/>
      <c r="C30" s="378"/>
      <c r="D30" s="105"/>
      <c r="E30" s="57"/>
      <c r="F30" s="105"/>
      <c r="G30" s="63"/>
      <c r="H30" s="105"/>
      <c r="I30" s="5"/>
    </row>
    <row r="31" spans="1:9" s="2" customFormat="1" ht="21.75" customHeight="1" outlineLevel="1">
      <c r="A31" s="391" t="s">
        <v>751</v>
      </c>
      <c r="B31" s="391"/>
      <c r="C31" s="391"/>
      <c r="D31" s="391"/>
      <c r="E31" s="391"/>
      <c r="F31" s="391"/>
      <c r="G31" s="391"/>
      <c r="H31" s="391"/>
      <c r="I31" s="5"/>
    </row>
    <row r="32" spans="1:9" s="2" customFormat="1" ht="165.6" customHeight="1" outlineLevel="1">
      <c r="A32" s="106" t="s">
        <v>13</v>
      </c>
      <c r="B32" s="107" t="s">
        <v>868</v>
      </c>
      <c r="C32" s="108" t="s">
        <v>869</v>
      </c>
      <c r="D32" s="109"/>
      <c r="E32" s="110"/>
      <c r="F32" s="111"/>
      <c r="G32" s="112"/>
      <c r="H32" s="113" t="s">
        <v>504</v>
      </c>
      <c r="I32" s="5"/>
    </row>
    <row r="33" spans="1:10" s="2" customFormat="1" ht="31.15" customHeight="1" outlineLevel="1">
      <c r="A33" s="114" t="s">
        <v>237</v>
      </c>
      <c r="B33" s="115" t="s">
        <v>870</v>
      </c>
      <c r="C33" s="116"/>
      <c r="D33" s="117" t="s">
        <v>68</v>
      </c>
      <c r="E33" s="118">
        <f>G8*146310.62</f>
        <v>146310.62</v>
      </c>
      <c r="F33" s="76"/>
      <c r="G33" s="119">
        <f>G8*16094.17</f>
        <v>16094.17</v>
      </c>
      <c r="H33" s="116" t="s">
        <v>66</v>
      </c>
      <c r="I33" s="5"/>
    </row>
    <row r="34" spans="1:10" s="2" customFormat="1" ht="31.15" customHeight="1" outlineLevel="1">
      <c r="A34" s="114" t="s">
        <v>238</v>
      </c>
      <c r="B34" s="115" t="s">
        <v>871</v>
      </c>
      <c r="C34" s="116"/>
      <c r="D34" s="117" t="s">
        <v>68</v>
      </c>
      <c r="E34" s="118">
        <f>G8*166945.47</f>
        <v>166945.47</v>
      </c>
      <c r="F34" s="76"/>
      <c r="G34" s="119">
        <f>G8*18364</f>
        <v>18364</v>
      </c>
      <c r="H34" s="116" t="s">
        <v>66</v>
      </c>
      <c r="I34" s="5"/>
    </row>
    <row r="35" spans="1:10" s="2" customFormat="1" ht="31.15" customHeight="1" outlineLevel="1">
      <c r="A35" s="114" t="s">
        <v>239</v>
      </c>
      <c r="B35" s="115" t="s">
        <v>872</v>
      </c>
      <c r="C35" s="116"/>
      <c r="D35" s="117" t="s">
        <v>68</v>
      </c>
      <c r="E35" s="118">
        <f>G8*199695.35</f>
        <v>199695.35</v>
      </c>
      <c r="F35" s="76"/>
      <c r="G35" s="119">
        <f>G8*21966.49</f>
        <v>21966.49</v>
      </c>
      <c r="H35" s="116" t="s">
        <v>66</v>
      </c>
      <c r="I35" s="5"/>
    </row>
    <row r="36" spans="1:10" s="2" customFormat="1" ht="196.15" customHeight="1" outlineLevel="1">
      <c r="A36" s="106" t="s">
        <v>14</v>
      </c>
      <c r="B36" s="107" t="s">
        <v>873</v>
      </c>
      <c r="C36" s="108" t="s">
        <v>874</v>
      </c>
      <c r="D36" s="120"/>
      <c r="E36" s="121"/>
      <c r="F36" s="122"/>
      <c r="G36" s="123"/>
      <c r="H36" s="113" t="s">
        <v>504</v>
      </c>
      <c r="I36" s="5"/>
    </row>
    <row r="37" spans="1:10" s="2" customFormat="1" ht="32.25" customHeight="1" outlineLevel="1">
      <c r="A37" s="124" t="s">
        <v>240</v>
      </c>
      <c r="B37" s="125" t="s">
        <v>875</v>
      </c>
      <c r="C37" s="126"/>
      <c r="D37" s="127" t="s">
        <v>68</v>
      </c>
      <c r="E37" s="118">
        <f>G8*214401.58</f>
        <v>214401.58</v>
      </c>
      <c r="F37" s="76"/>
      <c r="G37" s="119">
        <f>G8*23584.18</f>
        <v>23584.18</v>
      </c>
      <c r="H37" s="128"/>
      <c r="I37" s="5"/>
    </row>
    <row r="38" spans="1:10" s="2" customFormat="1" ht="31.15" customHeight="1" outlineLevel="1">
      <c r="A38" s="124" t="s">
        <v>241</v>
      </c>
      <c r="B38" s="125" t="s">
        <v>876</v>
      </c>
      <c r="C38" s="126"/>
      <c r="D38" s="127" t="s">
        <v>68</v>
      </c>
      <c r="E38" s="118">
        <f>G8*241753.85</f>
        <v>241753.85</v>
      </c>
      <c r="F38" s="76"/>
      <c r="G38" s="119">
        <f>G8*26592.92</f>
        <v>26592.92</v>
      </c>
      <c r="H38" s="128"/>
      <c r="I38" s="5"/>
    </row>
    <row r="39" spans="1:10" s="2" customFormat="1" ht="31.15" customHeight="1" outlineLevel="1">
      <c r="A39" s="124" t="s">
        <v>242</v>
      </c>
      <c r="B39" s="125" t="s">
        <v>877</v>
      </c>
      <c r="C39" s="126"/>
      <c r="D39" s="127" t="s">
        <v>68</v>
      </c>
      <c r="E39" s="118">
        <f>G8*275952.64</f>
        <v>275952.64000000001</v>
      </c>
      <c r="F39" s="76"/>
      <c r="G39" s="119">
        <f>G8*30354.79</f>
        <v>30354.79</v>
      </c>
      <c r="H39" s="128"/>
      <c r="I39" s="5"/>
    </row>
    <row r="40" spans="1:10" s="2" customFormat="1" ht="144.6" customHeight="1" outlineLevel="1">
      <c r="A40" s="106" t="s">
        <v>15</v>
      </c>
      <c r="B40" s="107" t="s">
        <v>880</v>
      </c>
      <c r="C40" s="108" t="s">
        <v>881</v>
      </c>
      <c r="D40" s="120"/>
      <c r="E40" s="121"/>
      <c r="F40" s="129"/>
      <c r="G40" s="129"/>
      <c r="H40" s="113" t="s">
        <v>504</v>
      </c>
      <c r="I40" s="5"/>
    </row>
    <row r="41" spans="1:10" s="2" customFormat="1" ht="31.15" customHeight="1" outlineLevel="1">
      <c r="A41" s="114" t="s">
        <v>243</v>
      </c>
      <c r="B41" s="115" t="s">
        <v>878</v>
      </c>
      <c r="C41" s="116"/>
      <c r="D41" s="117" t="s">
        <v>68</v>
      </c>
      <c r="E41" s="118">
        <f>G8*146345.62</f>
        <v>146345.62</v>
      </c>
      <c r="F41" s="76"/>
      <c r="G41" s="119">
        <f>G8*16098.02</f>
        <v>16098.02</v>
      </c>
      <c r="H41" s="116"/>
      <c r="I41" s="5"/>
    </row>
    <row r="42" spans="1:10" s="2" customFormat="1" ht="31.15" customHeight="1" outlineLevel="1">
      <c r="A42" s="114" t="s">
        <v>244</v>
      </c>
      <c r="B42" s="115" t="s">
        <v>879</v>
      </c>
      <c r="C42" s="116"/>
      <c r="D42" s="117" t="s">
        <v>68</v>
      </c>
      <c r="E42" s="118">
        <f>G8*169781.47</f>
        <v>169781.47</v>
      </c>
      <c r="F42" s="76"/>
      <c r="G42" s="119">
        <f>G8*18675.96</f>
        <v>18675.96</v>
      </c>
      <c r="H42" s="116"/>
      <c r="I42" s="5"/>
    </row>
    <row r="43" spans="1:10" s="2" customFormat="1" ht="31.15" customHeight="1" outlineLevel="1">
      <c r="A43" s="114" t="s">
        <v>245</v>
      </c>
      <c r="B43" s="115" t="s">
        <v>872</v>
      </c>
      <c r="C43" s="116"/>
      <c r="D43" s="117" t="s">
        <v>68</v>
      </c>
      <c r="E43" s="118">
        <f>G8*201912.42</f>
        <v>201912.42</v>
      </c>
      <c r="F43" s="76"/>
      <c r="G43" s="119">
        <f>G8*22210.37</f>
        <v>22210.37</v>
      </c>
      <c r="H43" s="116"/>
      <c r="I43" s="5"/>
    </row>
    <row r="44" spans="1:10" s="2" customFormat="1" ht="102" customHeight="1" outlineLevel="1">
      <c r="A44" s="392" t="s">
        <v>882</v>
      </c>
      <c r="B44" s="393"/>
      <c r="C44" s="393"/>
      <c r="D44" s="393"/>
      <c r="E44" s="393"/>
      <c r="F44" s="393"/>
      <c r="G44" s="393"/>
      <c r="H44" s="393"/>
      <c r="I44" s="5"/>
    </row>
    <row r="45" spans="1:10" s="2" customFormat="1" ht="42.6" customHeight="1">
      <c r="A45" s="378" t="s">
        <v>749</v>
      </c>
      <c r="B45" s="378"/>
      <c r="C45" s="378"/>
      <c r="D45" s="378"/>
      <c r="E45" s="378"/>
      <c r="F45" s="378"/>
      <c r="G45" s="378"/>
      <c r="H45" s="378"/>
      <c r="I45" s="5"/>
    </row>
    <row r="46" spans="1:10" s="2" customFormat="1" ht="28.5" customHeight="1" outlineLevel="1">
      <c r="A46" s="394" t="s">
        <v>587</v>
      </c>
      <c r="B46" s="394"/>
      <c r="C46" s="394"/>
      <c r="D46" s="384"/>
      <c r="E46" s="384"/>
      <c r="F46" s="384"/>
      <c r="G46" s="384"/>
      <c r="H46" s="384"/>
      <c r="I46" s="5"/>
    </row>
    <row r="47" spans="1:10" s="2" customFormat="1" ht="78" customHeight="1" outlineLevel="1">
      <c r="A47" s="134" t="s">
        <v>248</v>
      </c>
      <c r="B47" s="133" t="s">
        <v>883</v>
      </c>
      <c r="C47" s="133" t="s">
        <v>719</v>
      </c>
      <c r="D47" s="135" t="s">
        <v>720</v>
      </c>
      <c r="E47" s="136">
        <f>G8*2410.4</f>
        <v>2410.4</v>
      </c>
      <c r="F47" s="76"/>
      <c r="G47" s="76">
        <f>G8*2410.4</f>
        <v>2410.4</v>
      </c>
      <c r="H47" s="137"/>
      <c r="I47" s="5"/>
    </row>
    <row r="48" spans="1:10" s="2" customFormat="1" ht="201.6" customHeight="1" outlineLevel="1">
      <c r="A48" s="106" t="s">
        <v>17</v>
      </c>
      <c r="B48" s="139" t="s">
        <v>884</v>
      </c>
      <c r="C48" s="140" t="s">
        <v>885</v>
      </c>
      <c r="D48" s="131"/>
      <c r="E48" s="141"/>
      <c r="F48" s="142"/>
      <c r="G48" s="142"/>
      <c r="H48" s="143" t="s">
        <v>886</v>
      </c>
      <c r="I48" s="18"/>
      <c r="J48" s="8"/>
    </row>
    <row r="49" spans="1:11" s="2" customFormat="1" ht="31.15" customHeight="1" outlineLevel="1">
      <c r="A49" s="124" t="s">
        <v>249</v>
      </c>
      <c r="B49" s="133" t="s">
        <v>887</v>
      </c>
      <c r="C49" s="133"/>
      <c r="D49" s="184" t="s">
        <v>705</v>
      </c>
      <c r="E49" s="136">
        <f>G8*158713.59</f>
        <v>158713.59</v>
      </c>
      <c r="F49" s="76"/>
      <c r="G49" s="76">
        <f>G8*24439.62</f>
        <v>24439.62</v>
      </c>
      <c r="H49" s="144"/>
      <c r="I49" s="5"/>
      <c r="J49" s="7"/>
      <c r="K49" s="6"/>
    </row>
    <row r="50" spans="1:11" s="2" customFormat="1" ht="31.15" customHeight="1" outlineLevel="1">
      <c r="A50" s="124" t="s">
        <v>250</v>
      </c>
      <c r="B50" s="133" t="s">
        <v>888</v>
      </c>
      <c r="C50" s="133"/>
      <c r="D50" s="184" t="s">
        <v>705</v>
      </c>
      <c r="E50" s="136">
        <f>G8*163928.17</f>
        <v>163928.17000000001</v>
      </c>
      <c r="F50" s="76"/>
      <c r="G50" s="76">
        <f>G8*24439.62</f>
        <v>24439.62</v>
      </c>
      <c r="H50" s="144"/>
      <c r="I50" s="5"/>
      <c r="J50" s="7"/>
      <c r="K50" s="6"/>
    </row>
    <row r="51" spans="1:11" s="2" customFormat="1" ht="31.15" customHeight="1" outlineLevel="1">
      <c r="A51" s="124" t="s">
        <v>251</v>
      </c>
      <c r="B51" s="133" t="s">
        <v>889</v>
      </c>
      <c r="C51" s="133"/>
      <c r="D51" s="184" t="s">
        <v>705</v>
      </c>
      <c r="E51" s="136">
        <f>G8*168640.4</f>
        <v>168640.4</v>
      </c>
      <c r="F51" s="76"/>
      <c r="G51" s="76">
        <f>G8*24439.62</f>
        <v>24439.62</v>
      </c>
      <c r="H51" s="144"/>
      <c r="I51" s="5"/>
      <c r="J51" s="7"/>
      <c r="K51" s="6"/>
    </row>
    <row r="52" spans="1:11" s="2" customFormat="1" ht="31.15" customHeight="1" outlineLevel="1">
      <c r="A52" s="124" t="s">
        <v>252</v>
      </c>
      <c r="B52" s="133" t="s">
        <v>890</v>
      </c>
      <c r="C52" s="133"/>
      <c r="D52" s="184" t="s">
        <v>705</v>
      </c>
      <c r="E52" s="136">
        <f>G8*174888.49</f>
        <v>174888.49</v>
      </c>
      <c r="F52" s="76"/>
      <c r="G52" s="76">
        <f>G8*24439.62</f>
        <v>24439.62</v>
      </c>
      <c r="H52" s="144"/>
      <c r="I52" s="5"/>
      <c r="J52" s="7"/>
      <c r="K52" s="6"/>
    </row>
    <row r="53" spans="1:11" s="2" customFormat="1" ht="31.15" customHeight="1" outlineLevel="1">
      <c r="A53" s="124" t="s">
        <v>253</v>
      </c>
      <c r="B53" s="133" t="s">
        <v>891</v>
      </c>
      <c r="C53" s="133"/>
      <c r="D53" s="184" t="s">
        <v>705</v>
      </c>
      <c r="E53" s="136">
        <f>G8*187883.29</f>
        <v>187883.29</v>
      </c>
      <c r="F53" s="76"/>
      <c r="G53" s="76">
        <f>G8*24439.62</f>
        <v>24439.62</v>
      </c>
      <c r="H53" s="144"/>
      <c r="I53" s="5"/>
      <c r="J53" s="7"/>
      <c r="K53" s="6"/>
    </row>
    <row r="54" spans="1:11" s="2" customFormat="1" ht="31.15" customHeight="1" outlineLevel="1">
      <c r="A54" s="124" t="s">
        <v>254</v>
      </c>
      <c r="B54" s="133" t="s">
        <v>892</v>
      </c>
      <c r="C54" s="133"/>
      <c r="D54" s="184" t="s">
        <v>705</v>
      </c>
      <c r="E54" s="136">
        <f>G8*222178.36</f>
        <v>222178.36</v>
      </c>
      <c r="F54" s="76"/>
      <c r="G54" s="76">
        <f>G8*24439.62</f>
        <v>24439.62</v>
      </c>
      <c r="H54" s="144"/>
      <c r="I54" s="5"/>
      <c r="J54" s="7"/>
      <c r="K54" s="6"/>
    </row>
    <row r="55" spans="1:11" s="2" customFormat="1" ht="31.15" customHeight="1" outlineLevel="1">
      <c r="A55" s="124" t="s">
        <v>255</v>
      </c>
      <c r="B55" s="133" t="s">
        <v>893</v>
      </c>
      <c r="C55" s="133"/>
      <c r="D55" s="184" t="s">
        <v>705</v>
      </c>
      <c r="E55" s="136">
        <f>G8*257818.61</f>
        <v>257818.61</v>
      </c>
      <c r="F55" s="76"/>
      <c r="G55" s="76">
        <f>G8*24439.62</f>
        <v>24439.62</v>
      </c>
      <c r="H55" s="144"/>
      <c r="I55" s="5"/>
      <c r="J55" s="7"/>
      <c r="K55" s="6"/>
    </row>
    <row r="56" spans="1:11" s="2" customFormat="1" ht="205.9" customHeight="1" outlineLevel="1">
      <c r="A56" s="106" t="s">
        <v>18</v>
      </c>
      <c r="B56" s="139" t="s">
        <v>894</v>
      </c>
      <c r="C56" s="140" t="s">
        <v>895</v>
      </c>
      <c r="D56" s="131"/>
      <c r="E56" s="145"/>
      <c r="F56" s="145"/>
      <c r="G56" s="146"/>
      <c r="H56" s="143" t="s">
        <v>896</v>
      </c>
      <c r="I56" s="5"/>
    </row>
    <row r="57" spans="1:11" s="2" customFormat="1" ht="31.15" customHeight="1" outlineLevel="1">
      <c r="A57" s="124" t="s">
        <v>256</v>
      </c>
      <c r="B57" s="133" t="s">
        <v>897</v>
      </c>
      <c r="C57" s="147"/>
      <c r="D57" s="184" t="s">
        <v>705</v>
      </c>
      <c r="E57" s="136">
        <f>G8*365238.15</f>
        <v>365238.15</v>
      </c>
      <c r="F57" s="76"/>
      <c r="G57" s="76">
        <f>G8*86190.7</f>
        <v>86190.7</v>
      </c>
      <c r="H57" s="144"/>
      <c r="I57" s="5"/>
      <c r="J57" s="7"/>
      <c r="K57" s="6"/>
    </row>
    <row r="58" spans="1:11" s="2" customFormat="1" ht="31.15" customHeight="1" outlineLevel="1">
      <c r="A58" s="124" t="s">
        <v>257</v>
      </c>
      <c r="B58" s="133" t="s">
        <v>888</v>
      </c>
      <c r="C58" s="147"/>
      <c r="D58" s="184" t="s">
        <v>705</v>
      </c>
      <c r="E58" s="136">
        <f>G8*370602.93</f>
        <v>370602.93</v>
      </c>
      <c r="F58" s="76"/>
      <c r="G58" s="76">
        <f>G8*86190.7</f>
        <v>86190.7</v>
      </c>
      <c r="H58" s="144"/>
      <c r="I58" s="5"/>
      <c r="J58" s="7"/>
      <c r="K58" s="6"/>
    </row>
    <row r="59" spans="1:11" s="2" customFormat="1" ht="31.15" customHeight="1" outlineLevel="1">
      <c r="A59" s="124" t="s">
        <v>258</v>
      </c>
      <c r="B59" s="133" t="s">
        <v>889</v>
      </c>
      <c r="C59" s="147"/>
      <c r="D59" s="184" t="s">
        <v>705</v>
      </c>
      <c r="E59" s="136">
        <f>G8*378616.78</f>
        <v>378616.78</v>
      </c>
      <c r="F59" s="76"/>
      <c r="G59" s="76">
        <f>G8*86190.7</f>
        <v>86190.7</v>
      </c>
      <c r="H59" s="144"/>
      <c r="I59" s="5"/>
      <c r="J59" s="7"/>
      <c r="K59" s="6"/>
    </row>
    <row r="60" spans="1:11" s="2" customFormat="1" ht="31.15" customHeight="1" outlineLevel="1">
      <c r="A60" s="124" t="s">
        <v>259</v>
      </c>
      <c r="B60" s="133" t="s">
        <v>890</v>
      </c>
      <c r="C60" s="147"/>
      <c r="D60" s="184" t="s">
        <v>705</v>
      </c>
      <c r="E60" s="136">
        <f>G8*384696.78</f>
        <v>384696.78</v>
      </c>
      <c r="F60" s="76"/>
      <c r="G60" s="76">
        <f>G8*86190.7</f>
        <v>86190.7</v>
      </c>
      <c r="H60" s="144"/>
      <c r="I60" s="5"/>
      <c r="J60" s="7"/>
      <c r="K60" s="6"/>
    </row>
    <row r="61" spans="1:11" s="2" customFormat="1" ht="31.15" customHeight="1" outlineLevel="1">
      <c r="A61" s="124" t="s">
        <v>260</v>
      </c>
      <c r="B61" s="133" t="s">
        <v>891</v>
      </c>
      <c r="C61" s="147"/>
      <c r="D61" s="184" t="s">
        <v>705</v>
      </c>
      <c r="E61" s="136">
        <f>G8*398526.6</f>
        <v>398526.6</v>
      </c>
      <c r="F61" s="76"/>
      <c r="G61" s="76">
        <f>G8*86190.7</f>
        <v>86190.7</v>
      </c>
      <c r="H61" s="144"/>
      <c r="I61" s="5"/>
      <c r="J61" s="7"/>
      <c r="K61" s="6"/>
    </row>
    <row r="62" spans="1:11" s="2" customFormat="1" ht="31.15" customHeight="1" outlineLevel="1">
      <c r="A62" s="124" t="s">
        <v>261</v>
      </c>
      <c r="B62" s="133" t="s">
        <v>892</v>
      </c>
      <c r="C62" s="133"/>
      <c r="D62" s="184" t="s">
        <v>705</v>
      </c>
      <c r="E62" s="136">
        <f>G8*453635.25</f>
        <v>453635.25</v>
      </c>
      <c r="F62" s="76"/>
      <c r="G62" s="76">
        <f>G8*86190.7</f>
        <v>86190.7</v>
      </c>
      <c r="H62" s="144"/>
      <c r="I62" s="5"/>
      <c r="J62" s="7"/>
      <c r="K62" s="6"/>
    </row>
    <row r="63" spans="1:11" s="2" customFormat="1" ht="31.15" customHeight="1" outlineLevel="1">
      <c r="A63" s="148" t="s">
        <v>262</v>
      </c>
      <c r="B63" s="133" t="s">
        <v>898</v>
      </c>
      <c r="C63" s="133"/>
      <c r="D63" s="135" t="s">
        <v>705</v>
      </c>
      <c r="E63" s="136">
        <f>G8*490944.65</f>
        <v>490944.65</v>
      </c>
      <c r="F63" s="76"/>
      <c r="G63" s="76">
        <f>G8*86190.7</f>
        <v>86190.7</v>
      </c>
      <c r="H63" s="144"/>
      <c r="I63" s="5"/>
      <c r="J63" s="7"/>
      <c r="K63" s="6"/>
    </row>
    <row r="64" spans="1:11" s="2" customFormat="1" ht="155.44999999999999" customHeight="1" outlineLevel="1">
      <c r="A64" s="106" t="s">
        <v>21</v>
      </c>
      <c r="B64" s="139" t="s">
        <v>899</v>
      </c>
      <c r="C64" s="140" t="s">
        <v>900</v>
      </c>
      <c r="D64" s="131"/>
      <c r="E64" s="145"/>
      <c r="F64" s="145"/>
      <c r="G64" s="146"/>
      <c r="H64" s="143" t="s">
        <v>896</v>
      </c>
      <c r="I64" s="5"/>
    </row>
    <row r="65" spans="1:11" s="2" customFormat="1" ht="31.15" customHeight="1" outlineLevel="1">
      <c r="A65" s="124" t="s">
        <v>22</v>
      </c>
      <c r="B65" s="133" t="s">
        <v>887</v>
      </c>
      <c r="C65" s="133"/>
      <c r="D65" s="184" t="s">
        <v>705</v>
      </c>
      <c r="E65" s="136">
        <f>G8*170428.25</f>
        <v>170428.25</v>
      </c>
      <c r="F65" s="76"/>
      <c r="G65" s="76">
        <f>G8*37869.85</f>
        <v>37869.85</v>
      </c>
      <c r="H65" s="144"/>
      <c r="I65" s="5"/>
      <c r="J65" s="7"/>
      <c r="K65" s="6"/>
    </row>
    <row r="66" spans="1:11" s="2" customFormat="1" ht="31.15" customHeight="1" outlineLevel="1">
      <c r="A66" s="124" t="s">
        <v>23</v>
      </c>
      <c r="B66" s="133" t="s">
        <v>888</v>
      </c>
      <c r="C66" s="149"/>
      <c r="D66" s="184" t="s">
        <v>705</v>
      </c>
      <c r="E66" s="136">
        <f>G8*177591.94</f>
        <v>177591.94</v>
      </c>
      <c r="F66" s="76"/>
      <c r="G66" s="76">
        <f>G8*37869.85</f>
        <v>37869.85</v>
      </c>
      <c r="H66" s="144"/>
      <c r="I66" s="5"/>
      <c r="J66" s="7"/>
      <c r="K66" s="6"/>
    </row>
    <row r="67" spans="1:11" s="2" customFormat="1" ht="31.15" customHeight="1" outlineLevel="1">
      <c r="A67" s="124" t="s">
        <v>364</v>
      </c>
      <c r="B67" s="133" t="s">
        <v>889</v>
      </c>
      <c r="C67" s="147"/>
      <c r="D67" s="184" t="s">
        <v>705</v>
      </c>
      <c r="E67" s="136">
        <f>G8*184953.1</f>
        <v>184953.1</v>
      </c>
      <c r="F67" s="76"/>
      <c r="G67" s="76">
        <f>G8*37869.85</f>
        <v>37869.85</v>
      </c>
      <c r="H67" s="144"/>
      <c r="I67" s="5"/>
      <c r="J67" s="7"/>
      <c r="K67" s="6"/>
    </row>
    <row r="68" spans="1:11" s="2" customFormat="1" ht="31.15" customHeight="1" outlineLevel="1">
      <c r="A68" s="124" t="s">
        <v>365</v>
      </c>
      <c r="B68" s="133" t="s">
        <v>890</v>
      </c>
      <c r="C68" s="149"/>
      <c r="D68" s="184" t="s">
        <v>705</v>
      </c>
      <c r="E68" s="136">
        <f>G8*192290.05</f>
        <v>192290.05</v>
      </c>
      <c r="F68" s="76"/>
      <c r="G68" s="76">
        <f>G8*37869.85</f>
        <v>37869.85</v>
      </c>
      <c r="H68" s="144"/>
      <c r="I68" s="5"/>
      <c r="J68" s="7"/>
      <c r="K68" s="6"/>
    </row>
    <row r="69" spans="1:11" s="2" customFormat="1" ht="31.15" customHeight="1" outlineLevel="1">
      <c r="A69" s="124" t="s">
        <v>362</v>
      </c>
      <c r="B69" s="133" t="s">
        <v>901</v>
      </c>
      <c r="C69" s="150"/>
      <c r="D69" s="184" t="s">
        <v>705</v>
      </c>
      <c r="E69" s="136">
        <f>G8*202553.62</f>
        <v>202553.62</v>
      </c>
      <c r="F69" s="76"/>
      <c r="G69" s="76">
        <f>G8*37869.85</f>
        <v>37869.85</v>
      </c>
      <c r="H69" s="144"/>
      <c r="I69" s="5"/>
      <c r="J69" s="7"/>
      <c r="K69" s="6"/>
    </row>
    <row r="70" spans="1:11" s="2" customFormat="1" ht="31.15" customHeight="1" outlineLevel="1">
      <c r="A70" s="124" t="s">
        <v>366</v>
      </c>
      <c r="B70" s="133" t="s">
        <v>892</v>
      </c>
      <c r="C70" s="150"/>
      <c r="D70" s="184" t="s">
        <v>705</v>
      </c>
      <c r="E70" s="136">
        <f>G8*236686.52</f>
        <v>236686.52</v>
      </c>
      <c r="F70" s="76"/>
      <c r="G70" s="76">
        <f>G8*37869.85</f>
        <v>37869.85</v>
      </c>
      <c r="H70" s="144"/>
      <c r="I70" s="5"/>
      <c r="J70" s="7"/>
      <c r="K70" s="6"/>
    </row>
    <row r="71" spans="1:11" s="2" customFormat="1" ht="31.15" customHeight="1" outlineLevel="1">
      <c r="A71" s="124" t="s">
        <v>367</v>
      </c>
      <c r="B71" s="133" t="s">
        <v>898</v>
      </c>
      <c r="C71" s="150"/>
      <c r="D71" s="184" t="s">
        <v>705</v>
      </c>
      <c r="E71" s="136">
        <f>G8*272939.03</f>
        <v>272939.03000000003</v>
      </c>
      <c r="F71" s="76"/>
      <c r="G71" s="76">
        <f>G8*37869.85</f>
        <v>37869.85</v>
      </c>
      <c r="H71" s="144"/>
      <c r="I71" s="5"/>
      <c r="J71" s="7"/>
      <c r="K71" s="6"/>
    </row>
    <row r="72" spans="1:11" s="2" customFormat="1" ht="46.9" customHeight="1" outlineLevel="1">
      <c r="A72" s="106" t="s">
        <v>24</v>
      </c>
      <c r="B72" s="139" t="s">
        <v>98</v>
      </c>
      <c r="C72" s="140" t="s">
        <v>45</v>
      </c>
      <c r="D72" s="131"/>
      <c r="E72" s="145"/>
      <c r="F72" s="145"/>
      <c r="G72" s="146"/>
      <c r="H72" s="151"/>
      <c r="I72" s="5"/>
    </row>
    <row r="73" spans="1:11" s="2" customFormat="1" ht="46.9" customHeight="1" outlineLevel="1">
      <c r="A73" s="124" t="s">
        <v>395</v>
      </c>
      <c r="B73" s="133" t="s">
        <v>902</v>
      </c>
      <c r="C73" s="133"/>
      <c r="D73" s="184" t="s">
        <v>46</v>
      </c>
      <c r="E73" s="136">
        <f>G8*2373.45</f>
        <v>2373.4499999999998</v>
      </c>
      <c r="F73" s="136"/>
      <c r="G73" s="76">
        <f>G8*850.12</f>
        <v>850.12</v>
      </c>
      <c r="H73" s="152" t="s">
        <v>609</v>
      </c>
      <c r="I73" s="5"/>
    </row>
    <row r="74" spans="1:11" s="2" customFormat="1" ht="46.9" customHeight="1" outlineLevel="1">
      <c r="A74" s="124" t="s">
        <v>396</v>
      </c>
      <c r="B74" s="133" t="s">
        <v>903</v>
      </c>
      <c r="C74" s="133"/>
      <c r="D74" s="184" t="s">
        <v>46</v>
      </c>
      <c r="E74" s="136">
        <f>G8*2569.88</f>
        <v>2569.88</v>
      </c>
      <c r="F74" s="136"/>
      <c r="G74" s="76">
        <f>G8*850.12</f>
        <v>850.12</v>
      </c>
      <c r="H74" s="152" t="s">
        <v>609</v>
      </c>
      <c r="I74" s="5"/>
    </row>
    <row r="75" spans="1:11" s="2" customFormat="1" ht="46.9" customHeight="1" outlineLevel="1">
      <c r="A75" s="124" t="s">
        <v>397</v>
      </c>
      <c r="B75" s="133" t="s">
        <v>904</v>
      </c>
      <c r="C75" s="133"/>
      <c r="D75" s="184" t="s">
        <v>46</v>
      </c>
      <c r="E75" s="136">
        <f>G8*5796.6</f>
        <v>5796.6</v>
      </c>
      <c r="F75" s="136"/>
      <c r="G75" s="76">
        <f>G8*850.12</f>
        <v>850.12</v>
      </c>
      <c r="H75" s="152" t="s">
        <v>609</v>
      </c>
      <c r="I75" s="5"/>
    </row>
    <row r="76" spans="1:11" s="2" customFormat="1" ht="46.9" customHeight="1" outlineLevel="1">
      <c r="A76" s="124" t="s">
        <v>398</v>
      </c>
      <c r="B76" s="133" t="s">
        <v>905</v>
      </c>
      <c r="C76" s="133"/>
      <c r="D76" s="184" t="s">
        <v>46</v>
      </c>
      <c r="E76" s="136">
        <f>G8*7728.36</f>
        <v>7728.36</v>
      </c>
      <c r="F76" s="136"/>
      <c r="G76" s="76">
        <f>G8*850.12</f>
        <v>850.12</v>
      </c>
      <c r="H76" s="152" t="s">
        <v>609</v>
      </c>
      <c r="I76" s="5"/>
    </row>
    <row r="77" spans="1:11" s="2" customFormat="1" ht="46.9" customHeight="1" outlineLevel="1">
      <c r="A77" s="124" t="s">
        <v>399</v>
      </c>
      <c r="B77" s="133" t="s">
        <v>906</v>
      </c>
      <c r="C77" s="133"/>
      <c r="D77" s="184" t="s">
        <v>46</v>
      </c>
      <c r="E77" s="136">
        <f>G8*11285.06</f>
        <v>11285.06</v>
      </c>
      <c r="F77" s="136"/>
      <c r="G77" s="76">
        <f>G8*850.12</f>
        <v>850.12</v>
      </c>
      <c r="H77" s="152" t="s">
        <v>609</v>
      </c>
      <c r="I77" s="5"/>
    </row>
    <row r="78" spans="1:11" s="2" customFormat="1" ht="39" customHeight="1" outlineLevel="1">
      <c r="A78" s="124" t="s">
        <v>400</v>
      </c>
      <c r="B78" s="133" t="s">
        <v>907</v>
      </c>
      <c r="C78" s="133"/>
      <c r="D78" s="184" t="s">
        <v>46</v>
      </c>
      <c r="E78" s="136">
        <f>G8*21524.34</f>
        <v>21524.34</v>
      </c>
      <c r="F78" s="136"/>
      <c r="G78" s="76">
        <f>G8*850.12</f>
        <v>850.12</v>
      </c>
      <c r="H78" s="152" t="s">
        <v>609</v>
      </c>
      <c r="I78" s="5"/>
    </row>
    <row r="79" spans="1:11" s="2" customFormat="1" ht="106.9" customHeight="1" outlineLevel="1">
      <c r="A79" s="106" t="s">
        <v>25</v>
      </c>
      <c r="B79" s="139" t="s">
        <v>764</v>
      </c>
      <c r="C79" s="140" t="s">
        <v>762</v>
      </c>
      <c r="D79" s="131"/>
      <c r="E79" s="153"/>
      <c r="F79" s="153"/>
      <c r="G79" s="154"/>
      <c r="H79" s="155" t="s">
        <v>908</v>
      </c>
      <c r="I79" s="5"/>
    </row>
    <row r="80" spans="1:11" s="2" customFormat="1" ht="18.75" customHeight="1" outlineLevel="1">
      <c r="A80" s="124" t="s">
        <v>368</v>
      </c>
      <c r="B80" s="133" t="s">
        <v>909</v>
      </c>
      <c r="C80" s="133"/>
      <c r="D80" s="135" t="s">
        <v>489</v>
      </c>
      <c r="E80" s="136">
        <f>G8*6265.35</f>
        <v>6265.35</v>
      </c>
      <c r="F80" s="136"/>
      <c r="G80" s="76">
        <f>G8*516.38</f>
        <v>516.38</v>
      </c>
      <c r="H80" s="156"/>
      <c r="I80" s="5"/>
    </row>
    <row r="81" spans="1:11" s="2" customFormat="1" ht="18.75" customHeight="1" outlineLevel="1">
      <c r="A81" s="124" t="s">
        <v>369</v>
      </c>
      <c r="B81" s="133" t="s">
        <v>910</v>
      </c>
      <c r="C81" s="133"/>
      <c r="D81" s="135" t="s">
        <v>489</v>
      </c>
      <c r="E81" s="136">
        <f>G8*10116.23</f>
        <v>10116.23</v>
      </c>
      <c r="F81" s="136"/>
      <c r="G81" s="76">
        <f>G8*749.93</f>
        <v>749.93</v>
      </c>
      <c r="H81" s="156"/>
      <c r="I81" s="5"/>
    </row>
    <row r="82" spans="1:11" s="2" customFormat="1" ht="18.75" customHeight="1" outlineLevel="1">
      <c r="A82" s="124" t="s">
        <v>370</v>
      </c>
      <c r="B82" s="133" t="s">
        <v>911</v>
      </c>
      <c r="C82" s="133"/>
      <c r="D82" s="135" t="s">
        <v>489</v>
      </c>
      <c r="E82" s="136">
        <f>G8*18993.15</f>
        <v>18993.150000000001</v>
      </c>
      <c r="F82" s="136"/>
      <c r="G82" s="76">
        <f>G8*1241.33</f>
        <v>1241.33</v>
      </c>
      <c r="H82" s="156"/>
      <c r="I82" s="5"/>
    </row>
    <row r="83" spans="1:11" s="2" customFormat="1" ht="18.75" customHeight="1" outlineLevel="1">
      <c r="A83" s="124" t="s">
        <v>371</v>
      </c>
      <c r="B83" s="133" t="s">
        <v>912</v>
      </c>
      <c r="C83" s="133"/>
      <c r="D83" s="135" t="s">
        <v>489</v>
      </c>
      <c r="E83" s="136">
        <f>G8*27210.6</f>
        <v>27210.6</v>
      </c>
      <c r="F83" s="136"/>
      <c r="G83" s="76">
        <f>G8*1537.65</f>
        <v>1537.65</v>
      </c>
      <c r="H83" s="156"/>
      <c r="I83" s="5"/>
    </row>
    <row r="84" spans="1:11" s="2" customFormat="1" ht="18.75" customHeight="1" outlineLevel="1">
      <c r="A84" s="124" t="s">
        <v>372</v>
      </c>
      <c r="B84" s="133" t="s">
        <v>913</v>
      </c>
      <c r="C84" s="133"/>
      <c r="D84" s="135" t="s">
        <v>489</v>
      </c>
      <c r="E84" s="136">
        <f>G8*52047.9</f>
        <v>52047.9</v>
      </c>
      <c r="F84" s="136"/>
      <c r="G84" s="76">
        <f>G8*2478.6</f>
        <v>2478.6</v>
      </c>
      <c r="H84" s="156"/>
      <c r="I84" s="5"/>
    </row>
    <row r="85" spans="1:11" s="2" customFormat="1" ht="184.9" customHeight="1" outlineLevel="1">
      <c r="A85" s="157" t="s">
        <v>26</v>
      </c>
      <c r="B85" s="139" t="s">
        <v>925</v>
      </c>
      <c r="C85" s="140" t="s">
        <v>914</v>
      </c>
      <c r="D85" s="131"/>
      <c r="E85" s="145"/>
      <c r="F85" s="145"/>
      <c r="G85" s="146"/>
      <c r="H85" s="143" t="s">
        <v>915</v>
      </c>
      <c r="I85" s="5"/>
    </row>
    <row r="86" spans="1:11" s="2" customFormat="1" ht="15.6" customHeight="1" outlineLevel="1">
      <c r="A86" s="124" t="s">
        <v>373</v>
      </c>
      <c r="B86" s="133" t="s">
        <v>916</v>
      </c>
      <c r="C86" s="133"/>
      <c r="D86" s="135" t="s">
        <v>2</v>
      </c>
      <c r="E86" s="136">
        <f>G8*129776.13</f>
        <v>129776.13</v>
      </c>
      <c r="F86" s="76"/>
      <c r="G86" s="76">
        <f>G8*24439.62</f>
        <v>24439.62</v>
      </c>
      <c r="H86" s="144"/>
      <c r="I86" s="5"/>
      <c r="J86" s="7"/>
      <c r="K86" s="6"/>
    </row>
    <row r="87" spans="1:11" s="2" customFormat="1" ht="15.6" customHeight="1" outlineLevel="1">
      <c r="A87" s="124" t="s">
        <v>374</v>
      </c>
      <c r="B87" s="133" t="s">
        <v>917</v>
      </c>
      <c r="C87" s="133"/>
      <c r="D87" s="135" t="s">
        <v>2</v>
      </c>
      <c r="E87" s="136">
        <f>G8*160241.74</f>
        <v>160241.74</v>
      </c>
      <c r="F87" s="76"/>
      <c r="G87" s="76">
        <f>G8*24439.62</f>
        <v>24439.62</v>
      </c>
      <c r="H87" s="144"/>
      <c r="I87" s="5"/>
      <c r="J87" s="7"/>
      <c r="K87" s="6"/>
    </row>
    <row r="88" spans="1:11" s="2" customFormat="1" ht="15.6" customHeight="1" outlineLevel="1">
      <c r="A88" s="124" t="s">
        <v>375</v>
      </c>
      <c r="B88" s="133" t="s">
        <v>918</v>
      </c>
      <c r="C88" s="133"/>
      <c r="D88" s="135" t="s">
        <v>2</v>
      </c>
      <c r="E88" s="136">
        <f>G8*190132.55</f>
        <v>190132.55</v>
      </c>
      <c r="F88" s="76"/>
      <c r="G88" s="76">
        <f>G8*24439.62</f>
        <v>24439.62</v>
      </c>
      <c r="H88" s="144"/>
      <c r="I88" s="5"/>
      <c r="J88" s="7"/>
      <c r="K88" s="6"/>
    </row>
    <row r="89" spans="1:11" s="2" customFormat="1" ht="15.6" customHeight="1" outlineLevel="1">
      <c r="A89" s="124" t="s">
        <v>376</v>
      </c>
      <c r="B89" s="133" t="s">
        <v>919</v>
      </c>
      <c r="C89" s="147"/>
      <c r="D89" s="135" t="s">
        <v>2</v>
      </c>
      <c r="E89" s="136">
        <f>G8*216756.46</f>
        <v>216756.46</v>
      </c>
      <c r="F89" s="76"/>
      <c r="G89" s="76">
        <f>G8*24439.62</f>
        <v>24439.62</v>
      </c>
      <c r="H89" s="144"/>
      <c r="I89" s="5"/>
      <c r="J89" s="7"/>
      <c r="K89" s="6"/>
    </row>
    <row r="90" spans="1:11" s="2" customFormat="1" ht="15.6" customHeight="1" outlineLevel="1">
      <c r="A90" s="124" t="s">
        <v>377</v>
      </c>
      <c r="B90" s="133" t="s">
        <v>920</v>
      </c>
      <c r="C90" s="147"/>
      <c r="D90" s="135" t="s">
        <v>2</v>
      </c>
      <c r="E90" s="136">
        <f>G8*311700.2</f>
        <v>311700.2</v>
      </c>
      <c r="F90" s="76"/>
      <c r="G90" s="76">
        <f>G8*24439.62</f>
        <v>24439.62</v>
      </c>
      <c r="H90" s="144"/>
      <c r="I90" s="5"/>
      <c r="J90" s="7"/>
      <c r="K90" s="6"/>
    </row>
    <row r="91" spans="1:11" s="2" customFormat="1" ht="15.6" customHeight="1" outlineLevel="1">
      <c r="A91" s="124" t="s">
        <v>378</v>
      </c>
      <c r="B91" s="133" t="s">
        <v>921</v>
      </c>
      <c r="C91" s="147"/>
      <c r="D91" s="135" t="s">
        <v>2</v>
      </c>
      <c r="E91" s="136">
        <f>G8*576731.27</f>
        <v>576731.27</v>
      </c>
      <c r="F91" s="76"/>
      <c r="G91" s="76">
        <f>G8*24439.62</f>
        <v>24439.62</v>
      </c>
      <c r="H91" s="144"/>
      <c r="I91" s="5"/>
      <c r="J91" s="7"/>
      <c r="K91" s="6"/>
    </row>
    <row r="92" spans="1:11" s="2" customFormat="1" ht="15.6" customHeight="1" outlineLevel="1">
      <c r="A92" s="124" t="s">
        <v>379</v>
      </c>
      <c r="B92" s="133" t="s">
        <v>922</v>
      </c>
      <c r="C92" s="147"/>
      <c r="D92" s="135" t="s">
        <v>2</v>
      </c>
      <c r="E92" s="136">
        <f>G8*836705.39</f>
        <v>836705.39</v>
      </c>
      <c r="F92" s="76"/>
      <c r="G92" s="76">
        <f>G8*24439.62</f>
        <v>24439.62</v>
      </c>
      <c r="H92" s="144"/>
      <c r="I92" s="5"/>
      <c r="J92" s="7"/>
      <c r="K92" s="6"/>
    </row>
    <row r="93" spans="1:11" s="2" customFormat="1" ht="15.6" customHeight="1" outlineLevel="1">
      <c r="A93" s="124" t="s">
        <v>380</v>
      </c>
      <c r="B93" s="133" t="s">
        <v>923</v>
      </c>
      <c r="C93" s="133"/>
      <c r="D93" s="135" t="s">
        <v>2</v>
      </c>
      <c r="E93" s="136">
        <f>G8*1112064.53</f>
        <v>1112064.53</v>
      </c>
      <c r="F93" s="76"/>
      <c r="G93" s="76">
        <f>G8*24439.62</f>
        <v>24439.62</v>
      </c>
      <c r="H93" s="144"/>
      <c r="I93" s="5"/>
      <c r="J93" s="7"/>
      <c r="K93" s="6"/>
    </row>
    <row r="94" spans="1:11" s="2" customFormat="1" ht="15.6" customHeight="1" outlineLevel="1">
      <c r="A94" s="124" t="s">
        <v>381</v>
      </c>
      <c r="B94" s="133" t="s">
        <v>924</v>
      </c>
      <c r="C94" s="133"/>
      <c r="D94" s="135" t="s">
        <v>2</v>
      </c>
      <c r="E94" s="136">
        <f>G8*1478077.87</f>
        <v>1478077.87</v>
      </c>
      <c r="F94" s="76"/>
      <c r="G94" s="76">
        <f>G8*24439.62</f>
        <v>24439.62</v>
      </c>
      <c r="H94" s="144"/>
      <c r="I94" s="5"/>
      <c r="J94" s="7"/>
      <c r="K94" s="6"/>
    </row>
    <row r="95" spans="1:11" s="2" customFormat="1" ht="199.15" customHeight="1" outlineLevel="1">
      <c r="A95" s="158" t="s">
        <v>27</v>
      </c>
      <c r="B95" s="139" t="s">
        <v>926</v>
      </c>
      <c r="C95" s="140" t="s">
        <v>927</v>
      </c>
      <c r="D95" s="131"/>
      <c r="E95" s="153"/>
      <c r="F95" s="153"/>
      <c r="G95" s="154"/>
      <c r="H95" s="143" t="s">
        <v>928</v>
      </c>
      <c r="I95" s="5"/>
    </row>
    <row r="96" spans="1:11" s="2" customFormat="1" ht="15.6" customHeight="1" outlineLevel="1">
      <c r="A96" s="159" t="s">
        <v>28</v>
      </c>
      <c r="B96" s="133" t="s">
        <v>916</v>
      </c>
      <c r="C96" s="133"/>
      <c r="D96" s="135" t="s">
        <v>2</v>
      </c>
      <c r="E96" s="136">
        <f>G8*292315.83</f>
        <v>292315.83</v>
      </c>
      <c r="F96" s="76"/>
      <c r="G96" s="76">
        <f>G8*86190.7</f>
        <v>86190.7</v>
      </c>
      <c r="H96" s="144"/>
      <c r="I96" s="5"/>
      <c r="J96" s="7"/>
      <c r="K96" s="6"/>
    </row>
    <row r="97" spans="1:11" s="2" customFormat="1" ht="15.6" customHeight="1" outlineLevel="1">
      <c r="A97" s="159" t="s">
        <v>29</v>
      </c>
      <c r="B97" s="133" t="s">
        <v>917</v>
      </c>
      <c r="C97" s="133"/>
      <c r="D97" s="135" t="s">
        <v>2</v>
      </c>
      <c r="E97" s="136">
        <f>G8*323429</f>
        <v>323429</v>
      </c>
      <c r="F97" s="76"/>
      <c r="G97" s="76">
        <f>G8*86190.7</f>
        <v>86190.7</v>
      </c>
      <c r="H97" s="144"/>
      <c r="I97" s="5"/>
      <c r="J97" s="7"/>
      <c r="K97" s="6"/>
    </row>
    <row r="98" spans="1:11" s="2" customFormat="1" ht="15.6" customHeight="1" outlineLevel="1">
      <c r="A98" s="159" t="s">
        <v>30</v>
      </c>
      <c r="B98" s="133" t="s">
        <v>918</v>
      </c>
      <c r="C98" s="133"/>
      <c r="D98" s="135" t="s">
        <v>2</v>
      </c>
      <c r="E98" s="136">
        <f>G8*353783.21</f>
        <v>353783.21</v>
      </c>
      <c r="F98" s="76"/>
      <c r="G98" s="76">
        <f>G8*86190.7</f>
        <v>86190.7</v>
      </c>
      <c r="H98" s="144"/>
      <c r="I98" s="5"/>
      <c r="J98" s="7"/>
      <c r="K98" s="6"/>
    </row>
    <row r="99" spans="1:11" s="2" customFormat="1" ht="15.6" customHeight="1" outlineLevel="1">
      <c r="A99" s="159" t="s">
        <v>382</v>
      </c>
      <c r="B99" s="133" t="s">
        <v>919</v>
      </c>
      <c r="C99" s="133"/>
      <c r="D99" s="135" t="s">
        <v>2</v>
      </c>
      <c r="E99" s="136">
        <f>G8*415439.93</f>
        <v>415439.93</v>
      </c>
      <c r="F99" s="76"/>
      <c r="G99" s="76">
        <f>G8*86190.7</f>
        <v>86190.7</v>
      </c>
      <c r="H99" s="144"/>
      <c r="I99" s="5"/>
      <c r="J99" s="7"/>
      <c r="K99" s="6"/>
    </row>
    <row r="100" spans="1:11" s="2" customFormat="1" ht="15.6" customHeight="1" outlineLevel="1">
      <c r="A100" s="159" t="s">
        <v>383</v>
      </c>
      <c r="B100" s="133" t="s">
        <v>929</v>
      </c>
      <c r="C100" s="133"/>
      <c r="D100" s="135" t="s">
        <v>2</v>
      </c>
      <c r="E100" s="136">
        <f>G8*465951.77</f>
        <v>465951.77</v>
      </c>
      <c r="F100" s="76"/>
      <c r="G100" s="76">
        <f>G8*86190.7</f>
        <v>86190.7</v>
      </c>
      <c r="H100" s="144"/>
      <c r="I100" s="5"/>
      <c r="J100" s="7"/>
      <c r="K100" s="6"/>
    </row>
    <row r="101" spans="1:11" s="2" customFormat="1" ht="15.6" customHeight="1" outlineLevel="1">
      <c r="A101" s="159" t="s">
        <v>384</v>
      </c>
      <c r="B101" s="133" t="s">
        <v>921</v>
      </c>
      <c r="C101" s="133"/>
      <c r="D101" s="135" t="s">
        <v>2</v>
      </c>
      <c r="E101" s="136">
        <f>G8*745375.81</f>
        <v>745375.81</v>
      </c>
      <c r="F101" s="76"/>
      <c r="G101" s="76">
        <f>G8*86190.7</f>
        <v>86190.7</v>
      </c>
      <c r="H101" s="144"/>
      <c r="I101" s="5"/>
      <c r="J101" s="7"/>
      <c r="K101" s="6"/>
    </row>
    <row r="102" spans="1:11" s="2" customFormat="1" ht="15.6" customHeight="1" outlineLevel="1">
      <c r="A102" s="159" t="s">
        <v>385</v>
      </c>
      <c r="B102" s="133" t="s">
        <v>922</v>
      </c>
      <c r="C102" s="133"/>
      <c r="D102" s="135" t="s">
        <v>2</v>
      </c>
      <c r="E102" s="136">
        <f>G8*1041960.32</f>
        <v>1041960.32</v>
      </c>
      <c r="F102" s="76"/>
      <c r="G102" s="76">
        <f>G8*86190.7</f>
        <v>86190.7</v>
      </c>
      <c r="H102" s="144"/>
      <c r="I102" s="5"/>
      <c r="J102" s="7"/>
      <c r="K102" s="6"/>
    </row>
    <row r="103" spans="1:11" s="2" customFormat="1" ht="15.6" customHeight="1" outlineLevel="1">
      <c r="A103" s="159" t="s">
        <v>386</v>
      </c>
      <c r="B103" s="133" t="s">
        <v>923</v>
      </c>
      <c r="C103" s="133"/>
      <c r="D103" s="135" t="s">
        <v>2</v>
      </c>
      <c r="E103" s="136">
        <f>G8*1361502.84</f>
        <v>1361502.84</v>
      </c>
      <c r="F103" s="76"/>
      <c r="G103" s="76">
        <f>G8*86190.7</f>
        <v>86190.7</v>
      </c>
      <c r="H103" s="144"/>
      <c r="I103" s="5"/>
      <c r="J103" s="7"/>
      <c r="K103" s="6"/>
    </row>
    <row r="104" spans="1:11" s="2" customFormat="1" ht="15.6" customHeight="1" outlineLevel="1">
      <c r="A104" s="159" t="s">
        <v>387</v>
      </c>
      <c r="B104" s="133" t="s">
        <v>924</v>
      </c>
      <c r="C104" s="133"/>
      <c r="D104" s="135" t="s">
        <v>2</v>
      </c>
      <c r="E104" s="136">
        <f>G8*1771200.69</f>
        <v>1771200.69</v>
      </c>
      <c r="F104" s="76"/>
      <c r="G104" s="76">
        <f>G8*86190.7</f>
        <v>86190.7</v>
      </c>
      <c r="H104" s="144"/>
      <c r="I104" s="5"/>
      <c r="J104" s="7"/>
      <c r="K104" s="6"/>
    </row>
    <row r="105" spans="1:11" s="2" customFormat="1" ht="162.6" customHeight="1" outlineLevel="1">
      <c r="A105" s="158" t="s">
        <v>31</v>
      </c>
      <c r="B105" s="139" t="s">
        <v>1237</v>
      </c>
      <c r="C105" s="140" t="s">
        <v>931</v>
      </c>
      <c r="D105" s="131"/>
      <c r="E105" s="145"/>
      <c r="F105" s="145"/>
      <c r="G105" s="146"/>
      <c r="H105" s="143" t="s">
        <v>928</v>
      </c>
      <c r="I105" s="5"/>
    </row>
    <row r="106" spans="1:11" s="2" customFormat="1" ht="15.6" customHeight="1" outlineLevel="1">
      <c r="A106" s="159" t="s">
        <v>505</v>
      </c>
      <c r="B106" s="133" t="s">
        <v>916</v>
      </c>
      <c r="C106" s="133"/>
      <c r="D106" s="135" t="s">
        <v>2</v>
      </c>
      <c r="E106" s="136">
        <f>G8*174672.03</f>
        <v>174672.03</v>
      </c>
      <c r="F106" s="76"/>
      <c r="G106" s="76">
        <f>G8*37869.85</f>
        <v>37869.85</v>
      </c>
      <c r="H106" s="144"/>
      <c r="I106" s="5"/>
      <c r="J106" s="7"/>
      <c r="K106" s="6"/>
    </row>
    <row r="107" spans="1:11" s="2" customFormat="1" ht="15.6" customHeight="1" outlineLevel="1">
      <c r="A107" s="159" t="s">
        <v>506</v>
      </c>
      <c r="B107" s="133" t="s">
        <v>917</v>
      </c>
      <c r="C107" s="133"/>
      <c r="D107" s="135" t="s">
        <v>2</v>
      </c>
      <c r="E107" s="136">
        <f>G8*203008.96</f>
        <v>203008.96</v>
      </c>
      <c r="F107" s="76"/>
      <c r="G107" s="76">
        <f>G8*37869.85</f>
        <v>37869.85</v>
      </c>
      <c r="H107" s="144"/>
      <c r="I107" s="5"/>
      <c r="J107" s="7"/>
      <c r="K107" s="6"/>
    </row>
    <row r="108" spans="1:11" s="2" customFormat="1" ht="15.6" customHeight="1" outlineLevel="1">
      <c r="A108" s="159" t="s">
        <v>507</v>
      </c>
      <c r="B108" s="133" t="s">
        <v>918</v>
      </c>
      <c r="C108" s="133"/>
      <c r="D108" s="135" t="s">
        <v>2</v>
      </c>
      <c r="E108" s="136">
        <f>G8*230771.1</f>
        <v>230771.1</v>
      </c>
      <c r="F108" s="76"/>
      <c r="G108" s="76">
        <f>G8*37869.85</f>
        <v>37869.85</v>
      </c>
      <c r="H108" s="144"/>
      <c r="I108" s="5"/>
      <c r="J108" s="7"/>
      <c r="K108" s="6"/>
    </row>
    <row r="109" spans="1:11" s="2" customFormat="1" ht="15.6" customHeight="1" outlineLevel="1">
      <c r="A109" s="159" t="s">
        <v>509</v>
      </c>
      <c r="B109" s="133" t="s">
        <v>930</v>
      </c>
      <c r="C109" s="133"/>
      <c r="D109" s="135" t="s">
        <v>2</v>
      </c>
      <c r="E109" s="136">
        <f>G8*253137.67</f>
        <v>253137.67</v>
      </c>
      <c r="F109" s="76"/>
      <c r="G109" s="76">
        <f>G8*37869.85</f>
        <v>37869.85</v>
      </c>
      <c r="H109" s="144"/>
      <c r="I109" s="5"/>
      <c r="J109" s="7"/>
      <c r="K109" s="6"/>
    </row>
    <row r="110" spans="1:11" s="2" customFormat="1" ht="15.6" customHeight="1" outlineLevel="1">
      <c r="A110" s="159" t="s">
        <v>508</v>
      </c>
      <c r="B110" s="133" t="s">
        <v>929</v>
      </c>
      <c r="C110" s="133"/>
      <c r="D110" s="135" t="s">
        <v>2</v>
      </c>
      <c r="E110" s="136">
        <f>G8*327644.74</f>
        <v>327644.74</v>
      </c>
      <c r="F110" s="76"/>
      <c r="G110" s="76">
        <f>G8*37869.85</f>
        <v>37869.85</v>
      </c>
      <c r="H110" s="144"/>
      <c r="I110" s="5"/>
      <c r="J110" s="7"/>
      <c r="K110" s="6"/>
    </row>
    <row r="111" spans="1:11" s="2" customFormat="1" ht="15.6" customHeight="1" outlineLevel="1">
      <c r="A111" s="159" t="s">
        <v>510</v>
      </c>
      <c r="B111" s="133" t="s">
        <v>921</v>
      </c>
      <c r="C111" s="133"/>
      <c r="D111" s="135" t="s">
        <v>2</v>
      </c>
      <c r="E111" s="136">
        <f>G8*548196.47</f>
        <v>548196.47</v>
      </c>
      <c r="F111" s="76"/>
      <c r="G111" s="76">
        <f>G8*37869.85</f>
        <v>37869.85</v>
      </c>
      <c r="H111" s="144"/>
      <c r="I111" s="5"/>
      <c r="J111" s="7"/>
      <c r="K111" s="6"/>
    </row>
    <row r="112" spans="1:11" s="2" customFormat="1" ht="15.6" customHeight="1" outlineLevel="1">
      <c r="A112" s="159" t="s">
        <v>512</v>
      </c>
      <c r="B112" s="133" t="s">
        <v>922</v>
      </c>
      <c r="C112" s="133"/>
      <c r="D112" s="135" t="s">
        <v>2</v>
      </c>
      <c r="E112" s="136">
        <f>G8*763941.26</f>
        <v>763941.26</v>
      </c>
      <c r="F112" s="76"/>
      <c r="G112" s="76">
        <f>G8*37869.85</f>
        <v>37869.85</v>
      </c>
      <c r="H112" s="144"/>
      <c r="I112" s="5"/>
      <c r="J112" s="7"/>
      <c r="K112" s="6"/>
    </row>
    <row r="113" spans="1:11" s="2" customFormat="1" ht="15.6" customHeight="1" outlineLevel="1">
      <c r="A113" s="159" t="s">
        <v>511</v>
      </c>
      <c r="B113" s="133" t="s">
        <v>923</v>
      </c>
      <c r="C113" s="133"/>
      <c r="D113" s="135" t="s">
        <v>2</v>
      </c>
      <c r="E113" s="136">
        <f>G8*1025043.38</f>
        <v>1025043.38</v>
      </c>
      <c r="F113" s="76"/>
      <c r="G113" s="76">
        <f>G8*37869.85</f>
        <v>37869.85</v>
      </c>
      <c r="H113" s="144"/>
      <c r="I113" s="5"/>
      <c r="J113" s="7"/>
      <c r="K113" s="6"/>
    </row>
    <row r="114" spans="1:11" s="2" customFormat="1" ht="15.6" customHeight="1" outlineLevel="1">
      <c r="A114" s="159" t="s">
        <v>513</v>
      </c>
      <c r="B114" s="133" t="s">
        <v>924</v>
      </c>
      <c r="C114" s="133"/>
      <c r="D114" s="135" t="s">
        <v>2</v>
      </c>
      <c r="E114" s="136">
        <f>G8*1376973.75</f>
        <v>1376973.75</v>
      </c>
      <c r="F114" s="76"/>
      <c r="G114" s="76">
        <f>G8*37869.85</f>
        <v>37869.85</v>
      </c>
      <c r="H114" s="144"/>
      <c r="I114" s="5"/>
      <c r="J114" s="7"/>
      <c r="K114" s="6"/>
    </row>
    <row r="115" spans="1:11" s="2" customFormat="1" ht="81.599999999999994" customHeight="1" outlineLevel="1">
      <c r="A115" s="160" t="s">
        <v>32</v>
      </c>
      <c r="B115" s="139" t="s">
        <v>514</v>
      </c>
      <c r="C115" s="140" t="s">
        <v>716</v>
      </c>
      <c r="D115" s="131"/>
      <c r="E115" s="153"/>
      <c r="F115" s="154"/>
      <c r="G115" s="154"/>
      <c r="H115" s="155" t="s">
        <v>791</v>
      </c>
      <c r="I115" s="5"/>
    </row>
    <row r="116" spans="1:11" s="2" customFormat="1" ht="15.6" customHeight="1" outlineLevel="1">
      <c r="A116" s="159" t="s">
        <v>765</v>
      </c>
      <c r="B116" s="161" t="s">
        <v>488</v>
      </c>
      <c r="C116" s="310"/>
      <c r="D116" s="94" t="s">
        <v>489</v>
      </c>
      <c r="E116" s="136">
        <f>G8*1733.59</f>
        <v>1733.59</v>
      </c>
      <c r="F116" s="136"/>
      <c r="G116" s="76">
        <f>G8*159.6</f>
        <v>159.6</v>
      </c>
      <c r="H116" s="133"/>
      <c r="I116" s="5"/>
    </row>
    <row r="117" spans="1:11" s="2" customFormat="1" ht="15.6" customHeight="1" outlineLevel="1">
      <c r="A117" s="159" t="s">
        <v>766</v>
      </c>
      <c r="B117" s="161" t="s">
        <v>490</v>
      </c>
      <c r="C117" s="310"/>
      <c r="D117" s="94" t="s">
        <v>489</v>
      </c>
      <c r="E117" s="136">
        <f>G8*2468.09</f>
        <v>2468.09</v>
      </c>
      <c r="F117" s="136"/>
      <c r="G117" s="76">
        <f>G8*227.23</f>
        <v>227.23</v>
      </c>
      <c r="H117" s="133"/>
      <c r="I117" s="5"/>
    </row>
    <row r="118" spans="1:11" s="2" customFormat="1" ht="15.6" customHeight="1" outlineLevel="1">
      <c r="A118" s="159" t="s">
        <v>767</v>
      </c>
      <c r="B118" s="161" t="s">
        <v>491</v>
      </c>
      <c r="C118" s="310"/>
      <c r="D118" s="94" t="s">
        <v>489</v>
      </c>
      <c r="E118" s="136">
        <f>G8*3452.71</f>
        <v>3452.71</v>
      </c>
      <c r="F118" s="136"/>
      <c r="G118" s="76">
        <f>G8*317.88</f>
        <v>317.88</v>
      </c>
      <c r="H118" s="133"/>
      <c r="I118" s="5"/>
    </row>
    <row r="119" spans="1:11" s="2" customFormat="1" ht="15.6" customHeight="1" outlineLevel="1">
      <c r="A119" s="159" t="s">
        <v>768</v>
      </c>
      <c r="B119" s="161" t="s">
        <v>492</v>
      </c>
      <c r="C119" s="310"/>
      <c r="D119" s="94" t="s">
        <v>489</v>
      </c>
      <c r="E119" s="136">
        <f>G8*4286.49</f>
        <v>4286.49</v>
      </c>
      <c r="F119" s="136"/>
      <c r="G119" s="76">
        <f>G8*394.64</f>
        <v>394.64</v>
      </c>
      <c r="H119" s="133"/>
      <c r="I119" s="5"/>
    </row>
    <row r="120" spans="1:11" s="2" customFormat="1" ht="15.6" customHeight="1" outlineLevel="1">
      <c r="A120" s="159" t="s">
        <v>769</v>
      </c>
      <c r="B120" s="161" t="s">
        <v>493</v>
      </c>
      <c r="C120" s="310"/>
      <c r="D120" s="94" t="s">
        <v>489</v>
      </c>
      <c r="E120" s="136">
        <f>G8*6772.89</f>
        <v>6772.89</v>
      </c>
      <c r="F120" s="136"/>
      <c r="G120" s="76">
        <f>G8*623.55</f>
        <v>623.54999999999995</v>
      </c>
      <c r="H120" s="133"/>
      <c r="I120" s="5"/>
    </row>
    <row r="121" spans="1:11" s="2" customFormat="1" ht="15.6" customHeight="1" outlineLevel="1">
      <c r="A121" s="159" t="s">
        <v>770</v>
      </c>
      <c r="B121" s="161" t="s">
        <v>494</v>
      </c>
      <c r="C121" s="310"/>
      <c r="D121" s="94" t="s">
        <v>489</v>
      </c>
      <c r="E121" s="136">
        <f>G8*11966.49</f>
        <v>11966.49</v>
      </c>
      <c r="F121" s="136"/>
      <c r="G121" s="76">
        <f>G8*1101.7</f>
        <v>1101.7</v>
      </c>
      <c r="H121" s="133"/>
      <c r="I121" s="5"/>
    </row>
    <row r="122" spans="1:11" s="2" customFormat="1" ht="15.6" customHeight="1" outlineLevel="1">
      <c r="A122" s="159" t="s">
        <v>771</v>
      </c>
      <c r="B122" s="161" t="s">
        <v>495</v>
      </c>
      <c r="C122" s="310"/>
      <c r="D122" s="94" t="s">
        <v>489</v>
      </c>
      <c r="E122" s="136">
        <f>G8*14321.44</f>
        <v>14321.44</v>
      </c>
      <c r="F122" s="136"/>
      <c r="G122" s="76">
        <f>G8*1318.51</f>
        <v>1318.51</v>
      </c>
      <c r="H122" s="133"/>
      <c r="I122" s="5"/>
    </row>
    <row r="123" spans="1:11" s="2" customFormat="1" ht="15.6" customHeight="1" outlineLevel="1">
      <c r="A123" s="159" t="s">
        <v>772</v>
      </c>
      <c r="B123" s="161" t="s">
        <v>496</v>
      </c>
      <c r="C123" s="310"/>
      <c r="D123" s="94" t="s">
        <v>489</v>
      </c>
      <c r="E123" s="136">
        <f>G8*17599.73</f>
        <v>17599.73</v>
      </c>
      <c r="F123" s="136"/>
      <c r="G123" s="76">
        <f>G8*1620.33</f>
        <v>1620.33</v>
      </c>
      <c r="H123" s="133"/>
      <c r="I123" s="5"/>
    </row>
    <row r="124" spans="1:11" s="2" customFormat="1" ht="15.6" customHeight="1" outlineLevel="1">
      <c r="A124" s="159" t="s">
        <v>773</v>
      </c>
      <c r="B124" s="161" t="s">
        <v>497</v>
      </c>
      <c r="C124" s="310"/>
      <c r="D124" s="94" t="s">
        <v>489</v>
      </c>
      <c r="E124" s="136">
        <f>G8*27309.14</f>
        <v>27309.14</v>
      </c>
      <c r="F124" s="136"/>
      <c r="G124" s="76">
        <f>G8*2514.23</f>
        <v>2514.23</v>
      </c>
      <c r="H124" s="133"/>
      <c r="I124" s="5"/>
    </row>
    <row r="125" spans="1:11" s="2" customFormat="1" ht="15.6" customHeight="1" outlineLevel="1">
      <c r="A125" s="159" t="s">
        <v>774</v>
      </c>
      <c r="B125" s="161" t="s">
        <v>498</v>
      </c>
      <c r="C125" s="310"/>
      <c r="D125" s="94" t="s">
        <v>489</v>
      </c>
      <c r="E125" s="136">
        <f>G8*35485.22</f>
        <v>35485.22</v>
      </c>
      <c r="F125" s="136"/>
      <c r="G125" s="76">
        <f>G8*3266.97</f>
        <v>3266.97</v>
      </c>
      <c r="H125" s="133"/>
      <c r="I125" s="5"/>
    </row>
    <row r="126" spans="1:11" s="2" customFormat="1" ht="31.15" customHeight="1" outlineLevel="1">
      <c r="A126" s="162" t="s">
        <v>33</v>
      </c>
      <c r="B126" s="133" t="s">
        <v>95</v>
      </c>
      <c r="C126" s="133" t="s">
        <v>96</v>
      </c>
      <c r="D126" s="135" t="s">
        <v>61</v>
      </c>
      <c r="E126" s="136">
        <f>G8*29.37</f>
        <v>29.37</v>
      </c>
      <c r="F126" s="136"/>
      <c r="G126" s="76">
        <v>0</v>
      </c>
      <c r="H126" s="152" t="s">
        <v>610</v>
      </c>
      <c r="I126" s="5"/>
    </row>
    <row r="127" spans="1:11" s="2" customFormat="1" ht="51.75" customHeight="1" outlineLevel="1">
      <c r="A127" s="162" t="s">
        <v>775</v>
      </c>
      <c r="B127" s="133" t="s">
        <v>97</v>
      </c>
      <c r="C127" s="133" t="s">
        <v>90</v>
      </c>
      <c r="D127" s="135" t="s">
        <v>61</v>
      </c>
      <c r="E127" s="136">
        <f>G8*131.14</f>
        <v>131.13999999999999</v>
      </c>
      <c r="F127" s="136"/>
      <c r="G127" s="76">
        <v>0</v>
      </c>
      <c r="H127" s="152" t="s">
        <v>611</v>
      </c>
      <c r="I127" s="5"/>
    </row>
    <row r="128" spans="1:11" s="2" customFormat="1" ht="75.599999999999994" customHeight="1" outlineLevel="1">
      <c r="A128" s="162" t="s">
        <v>34</v>
      </c>
      <c r="B128" s="133" t="s">
        <v>792</v>
      </c>
      <c r="C128" s="133" t="s">
        <v>932</v>
      </c>
      <c r="D128" s="135" t="s">
        <v>489</v>
      </c>
      <c r="E128" s="136">
        <f>G8*3565.35</f>
        <v>3565.35</v>
      </c>
      <c r="F128" s="136"/>
      <c r="G128" s="76">
        <v>0</v>
      </c>
      <c r="H128" s="152" t="s">
        <v>665</v>
      </c>
      <c r="I128" s="5"/>
    </row>
    <row r="129" spans="1:9" s="2" customFormat="1" ht="32.25" customHeight="1" outlineLevel="1">
      <c r="A129" s="158" t="s">
        <v>776</v>
      </c>
      <c r="B129" s="139" t="s">
        <v>515</v>
      </c>
      <c r="C129" s="140"/>
      <c r="D129" s="131"/>
      <c r="E129" s="153"/>
      <c r="F129" s="153"/>
      <c r="G129" s="154"/>
      <c r="H129" s="163"/>
      <c r="I129" s="5"/>
    </row>
    <row r="130" spans="1:9" s="2" customFormat="1" ht="90.6" customHeight="1" outlineLevel="1">
      <c r="A130" s="164" t="s">
        <v>777</v>
      </c>
      <c r="B130" s="165" t="s">
        <v>937</v>
      </c>
      <c r="C130" s="166" t="s">
        <v>628</v>
      </c>
      <c r="D130" s="167" t="s">
        <v>67</v>
      </c>
      <c r="E130" s="136">
        <f>G8*66943.27</f>
        <v>66943.27</v>
      </c>
      <c r="F130" s="76"/>
      <c r="G130" s="76">
        <f>G8*6694.33</f>
        <v>6694.33</v>
      </c>
      <c r="H130" s="168"/>
      <c r="I130" s="5"/>
    </row>
    <row r="131" spans="1:9" s="2" customFormat="1" ht="84.6" customHeight="1" outlineLevel="1">
      <c r="A131" s="164" t="s">
        <v>778</v>
      </c>
      <c r="B131" s="165" t="s">
        <v>938</v>
      </c>
      <c r="C131" s="166" t="s">
        <v>628</v>
      </c>
      <c r="D131" s="167" t="s">
        <v>67</v>
      </c>
      <c r="E131" s="136">
        <f>G8*70491.69</f>
        <v>70491.69</v>
      </c>
      <c r="F131" s="76"/>
      <c r="G131" s="76">
        <f>G8*7049.17</f>
        <v>7049.17</v>
      </c>
      <c r="H131" s="168"/>
      <c r="I131" s="5"/>
    </row>
    <row r="132" spans="1:9" s="2" customFormat="1" ht="96.6" customHeight="1" outlineLevel="1">
      <c r="A132" s="164" t="s">
        <v>779</v>
      </c>
      <c r="B132" s="166" t="s">
        <v>939</v>
      </c>
      <c r="C132" s="166" t="s">
        <v>627</v>
      </c>
      <c r="D132" s="167"/>
      <c r="E132" s="169"/>
      <c r="F132" s="76"/>
      <c r="G132" s="170"/>
      <c r="H132" s="156"/>
      <c r="I132" s="5"/>
    </row>
    <row r="133" spans="1:9" s="2" customFormat="1" ht="30" customHeight="1" outlineLevel="1">
      <c r="A133" s="171" t="s">
        <v>780</v>
      </c>
      <c r="B133" s="166" t="s">
        <v>933</v>
      </c>
      <c r="C133" s="166"/>
      <c r="D133" s="167" t="s">
        <v>67</v>
      </c>
      <c r="E133" s="136">
        <f>G8*61051.52</f>
        <v>61051.519999999997</v>
      </c>
      <c r="F133" s="76"/>
      <c r="G133" s="76">
        <f>G8*6105.15</f>
        <v>6105.15</v>
      </c>
      <c r="H133" s="156"/>
      <c r="I133" s="5"/>
    </row>
    <row r="134" spans="1:9" s="2" customFormat="1" ht="30" customHeight="1" outlineLevel="1">
      <c r="A134" s="171" t="s">
        <v>781</v>
      </c>
      <c r="B134" s="166" t="s">
        <v>934</v>
      </c>
      <c r="C134" s="166"/>
      <c r="D134" s="167" t="s">
        <v>67</v>
      </c>
      <c r="E134" s="136">
        <f>G8*172691.1</f>
        <v>172691.1</v>
      </c>
      <c r="F134" s="76"/>
      <c r="G134" s="76">
        <f>G8*17269.11</f>
        <v>17269.11</v>
      </c>
      <c r="H134" s="156"/>
      <c r="I134" s="5"/>
    </row>
    <row r="135" spans="1:9" s="2" customFormat="1" ht="30" customHeight="1" outlineLevel="1">
      <c r="A135" s="171" t="s">
        <v>782</v>
      </c>
      <c r="B135" s="166" t="s">
        <v>935</v>
      </c>
      <c r="C135" s="166"/>
      <c r="D135" s="167" t="s">
        <v>67</v>
      </c>
      <c r="E135" s="136">
        <f>G8*263786.37</f>
        <v>263786.37</v>
      </c>
      <c r="F135" s="76"/>
      <c r="G135" s="76">
        <f>G8*26378.64</f>
        <v>26378.639999999999</v>
      </c>
      <c r="H135" s="156"/>
      <c r="I135" s="5"/>
    </row>
    <row r="136" spans="1:9" s="2" customFormat="1" ht="102.6" customHeight="1" outlineLevel="1">
      <c r="A136" s="164" t="s">
        <v>783</v>
      </c>
      <c r="B136" s="166" t="s">
        <v>940</v>
      </c>
      <c r="C136" s="166" t="s">
        <v>627</v>
      </c>
      <c r="D136" s="167"/>
      <c r="E136" s="172"/>
      <c r="F136" s="76"/>
      <c r="G136" s="173"/>
      <c r="H136" s="156"/>
      <c r="I136" s="5"/>
    </row>
    <row r="137" spans="1:9" s="2" customFormat="1" ht="31.5" customHeight="1" outlineLevel="1">
      <c r="A137" s="171" t="s">
        <v>784</v>
      </c>
      <c r="B137" s="166" t="s">
        <v>936</v>
      </c>
      <c r="C137" s="166"/>
      <c r="D137" s="167" t="s">
        <v>67</v>
      </c>
      <c r="E137" s="136">
        <f>G8*142939.61</f>
        <v>142939.60999999999</v>
      </c>
      <c r="F137" s="76"/>
      <c r="G137" s="76">
        <f>G8*14293.96</f>
        <v>14293.96</v>
      </c>
      <c r="H137" s="156"/>
      <c r="I137" s="5"/>
    </row>
    <row r="138" spans="1:9" s="2" customFormat="1" ht="31.5" customHeight="1" outlineLevel="1">
      <c r="A138" s="171" t="s">
        <v>785</v>
      </c>
      <c r="B138" s="166" t="s">
        <v>934</v>
      </c>
      <c r="C138" s="166"/>
      <c r="D138" s="167" t="s">
        <v>67</v>
      </c>
      <c r="E138" s="136">
        <f>G8*218125.13</f>
        <v>218125.13</v>
      </c>
      <c r="F138" s="76"/>
      <c r="G138" s="76">
        <f>G8*21812.51</f>
        <v>21812.51</v>
      </c>
      <c r="H138" s="156"/>
      <c r="I138" s="5"/>
    </row>
    <row r="139" spans="1:9" s="2" customFormat="1" ht="31.5" customHeight="1" outlineLevel="1">
      <c r="A139" s="171" t="s">
        <v>786</v>
      </c>
      <c r="B139" s="166" t="s">
        <v>935</v>
      </c>
      <c r="C139" s="166"/>
      <c r="D139" s="167" t="s">
        <v>67</v>
      </c>
      <c r="E139" s="136">
        <f>G8*325738.08</f>
        <v>325738.08</v>
      </c>
      <c r="F139" s="76"/>
      <c r="G139" s="76">
        <f>G8*32573.81</f>
        <v>32573.81</v>
      </c>
      <c r="H139" s="156"/>
      <c r="I139" s="5"/>
    </row>
    <row r="140" spans="1:9" s="2" customFormat="1" ht="102" customHeight="1" outlineLevel="1">
      <c r="A140" s="164" t="s">
        <v>787</v>
      </c>
      <c r="B140" s="166" t="s">
        <v>941</v>
      </c>
      <c r="C140" s="166" t="s">
        <v>627</v>
      </c>
      <c r="D140" s="167"/>
      <c r="E140" s="174"/>
      <c r="F140" s="175"/>
      <c r="G140" s="176"/>
      <c r="H140" s="156"/>
      <c r="I140" s="5"/>
    </row>
    <row r="141" spans="1:9" s="2" customFormat="1" ht="30" customHeight="1" outlineLevel="1">
      <c r="A141" s="171" t="s">
        <v>788</v>
      </c>
      <c r="B141" s="166" t="s">
        <v>936</v>
      </c>
      <c r="C141" s="166"/>
      <c r="D141" s="167" t="s">
        <v>67</v>
      </c>
      <c r="E141" s="136">
        <f>G8*77830.95</f>
        <v>77830.95</v>
      </c>
      <c r="F141" s="76"/>
      <c r="G141" s="76">
        <f>G8*7783.09</f>
        <v>7783.09</v>
      </c>
      <c r="H141" s="156"/>
      <c r="I141" s="5"/>
    </row>
    <row r="142" spans="1:9" s="2" customFormat="1" ht="30" customHeight="1" outlineLevel="1">
      <c r="A142" s="171" t="s">
        <v>789</v>
      </c>
      <c r="B142" s="166" t="s">
        <v>934</v>
      </c>
      <c r="C142" s="166"/>
      <c r="D142" s="167" t="s">
        <v>67</v>
      </c>
      <c r="E142" s="136">
        <f>G8*149654.16</f>
        <v>149654.16</v>
      </c>
      <c r="F142" s="76"/>
      <c r="G142" s="76">
        <f>G8*14965.42</f>
        <v>14965.42</v>
      </c>
      <c r="H142" s="156"/>
      <c r="I142" s="5"/>
    </row>
    <row r="143" spans="1:9" s="2" customFormat="1" ht="30" customHeight="1" outlineLevel="1">
      <c r="A143" s="171" t="s">
        <v>790</v>
      </c>
      <c r="B143" s="166" t="s">
        <v>935</v>
      </c>
      <c r="C143" s="166"/>
      <c r="D143" s="167" t="s">
        <v>67</v>
      </c>
      <c r="E143" s="136">
        <f>G8*223643.28</f>
        <v>223643.28</v>
      </c>
      <c r="F143" s="76"/>
      <c r="G143" s="76">
        <f>G8*22364.33</f>
        <v>22364.33</v>
      </c>
      <c r="H143" s="156"/>
      <c r="I143" s="5"/>
    </row>
    <row r="144" spans="1:9" s="2" customFormat="1" ht="117" customHeight="1" outlineLevel="1">
      <c r="A144" s="395" t="s">
        <v>942</v>
      </c>
      <c r="B144" s="396"/>
      <c r="C144" s="396"/>
      <c r="D144" s="396"/>
      <c r="E144" s="396"/>
      <c r="F144" s="396"/>
      <c r="G144" s="396"/>
      <c r="H144" s="396"/>
      <c r="I144" s="5"/>
    </row>
    <row r="145" spans="1:14" s="2" customFormat="1" ht="26.25" customHeight="1">
      <c r="A145" s="378" t="s">
        <v>750</v>
      </c>
      <c r="B145" s="378"/>
      <c r="C145" s="378"/>
      <c r="D145" s="378"/>
      <c r="E145" s="378"/>
      <c r="F145" s="378"/>
      <c r="G145" s="378"/>
      <c r="H145" s="378"/>
      <c r="I145" s="5"/>
    </row>
    <row r="146" spans="1:14" s="2" customFormat="1" ht="22.5" customHeight="1" outlineLevel="1">
      <c r="A146" s="384" t="s">
        <v>363</v>
      </c>
      <c r="B146" s="384"/>
      <c r="C146" s="384"/>
      <c r="D146" s="384"/>
      <c r="E146" s="384"/>
      <c r="F146" s="384"/>
      <c r="G146" s="384"/>
      <c r="H146" s="384"/>
      <c r="I146" s="5"/>
      <c r="J146" s="13"/>
      <c r="N146" s="13"/>
    </row>
    <row r="147" spans="1:14" s="2" customFormat="1" ht="99" customHeight="1" outlineLevel="1">
      <c r="A147" s="177" t="s">
        <v>71</v>
      </c>
      <c r="B147" s="165" t="s">
        <v>944</v>
      </c>
      <c r="C147" s="165" t="s">
        <v>945</v>
      </c>
      <c r="D147" s="167" t="s">
        <v>2</v>
      </c>
      <c r="E147" s="136">
        <f>G8*866729.03</f>
        <v>866729.03</v>
      </c>
      <c r="F147" s="136"/>
      <c r="G147" s="76">
        <f>G8*91324.13</f>
        <v>91324.13</v>
      </c>
      <c r="H147" s="152" t="s">
        <v>943</v>
      </c>
      <c r="I147" s="5"/>
      <c r="J147" s="16"/>
      <c r="K147" s="12"/>
      <c r="L147" s="14"/>
      <c r="N147" s="13"/>
    </row>
    <row r="148" spans="1:14" s="2" customFormat="1" ht="55.5" customHeight="1" outlineLevel="1">
      <c r="A148" s="177" t="s">
        <v>72</v>
      </c>
      <c r="B148" s="166" t="s">
        <v>946</v>
      </c>
      <c r="C148" s="166" t="s">
        <v>619</v>
      </c>
      <c r="D148" s="167" t="s">
        <v>16</v>
      </c>
      <c r="E148" s="136">
        <f>G8*553105.61</f>
        <v>553105.61</v>
      </c>
      <c r="F148" s="136"/>
      <c r="G148" s="76">
        <f>G8*71903.73</f>
        <v>71903.73</v>
      </c>
      <c r="H148" s="152" t="s">
        <v>556</v>
      </c>
      <c r="I148" s="5"/>
      <c r="J148" s="7"/>
      <c r="K148" s="12"/>
    </row>
    <row r="149" spans="1:14" s="2" customFormat="1" ht="83.25" customHeight="1" outlineLevel="1">
      <c r="A149" s="177" t="s">
        <v>73</v>
      </c>
      <c r="B149" s="166" t="s">
        <v>105</v>
      </c>
      <c r="C149" s="166" t="s">
        <v>947</v>
      </c>
      <c r="D149" s="167" t="s">
        <v>16</v>
      </c>
      <c r="E149" s="136">
        <f>G8*553105.61</f>
        <v>553105.61</v>
      </c>
      <c r="F149" s="136"/>
      <c r="G149" s="76">
        <f>G8*71903.73</f>
        <v>71903.73</v>
      </c>
      <c r="H149" s="152" t="s">
        <v>557</v>
      </c>
      <c r="I149" s="5"/>
      <c r="J149" s="17"/>
      <c r="K149" s="12"/>
      <c r="L149" s="14"/>
      <c r="N149" s="13"/>
    </row>
    <row r="150" spans="1:14" s="2" customFormat="1" ht="67.5" customHeight="1" outlineLevel="1">
      <c r="A150" s="177" t="s">
        <v>75</v>
      </c>
      <c r="B150" s="166" t="s">
        <v>813</v>
      </c>
      <c r="C150" s="166" t="s">
        <v>948</v>
      </c>
      <c r="D150" s="167" t="s">
        <v>16</v>
      </c>
      <c r="E150" s="136">
        <f>G8*976981.1</f>
        <v>976981.1</v>
      </c>
      <c r="F150" s="136"/>
      <c r="G150" s="76">
        <f>G8*48849.06</f>
        <v>48849.06</v>
      </c>
      <c r="H150" s="152" t="s">
        <v>814</v>
      </c>
      <c r="I150" s="5"/>
      <c r="J150" s="15"/>
      <c r="K150" s="6"/>
    </row>
    <row r="151" spans="1:14" s="2" customFormat="1" ht="93.6" customHeight="1" outlineLevel="1">
      <c r="A151" s="178" t="s">
        <v>76</v>
      </c>
      <c r="B151" s="179" t="s">
        <v>949</v>
      </c>
      <c r="C151" s="179" t="s">
        <v>624</v>
      </c>
      <c r="D151" s="180" t="s">
        <v>145</v>
      </c>
      <c r="E151" s="181"/>
      <c r="F151" s="181"/>
      <c r="G151" s="182"/>
      <c r="H151" s="163"/>
      <c r="I151" s="5"/>
    </row>
    <row r="152" spans="1:14" s="2" customFormat="1" ht="31.15" customHeight="1" outlineLevel="1">
      <c r="A152" s="92" t="s">
        <v>265</v>
      </c>
      <c r="B152" s="166" t="s">
        <v>950</v>
      </c>
      <c r="C152" s="166"/>
      <c r="D152" s="183" t="s">
        <v>145</v>
      </c>
      <c r="E152" s="136">
        <f>G8*2903.16</f>
        <v>2903.16</v>
      </c>
      <c r="F152" s="136"/>
      <c r="G152" s="76">
        <f>G8*319.35</f>
        <v>319.35000000000002</v>
      </c>
      <c r="H152" s="144"/>
      <c r="I152" s="5"/>
      <c r="J152" s="7"/>
      <c r="K152" s="6"/>
    </row>
    <row r="153" spans="1:14" s="2" customFormat="1" ht="31.15" customHeight="1" outlineLevel="1">
      <c r="A153" s="92" t="s">
        <v>266</v>
      </c>
      <c r="B153" s="166" t="s">
        <v>951</v>
      </c>
      <c r="C153" s="166"/>
      <c r="D153" s="183" t="s">
        <v>145</v>
      </c>
      <c r="E153" s="136">
        <f>G8*4251.81</f>
        <v>4251.8100000000004</v>
      </c>
      <c r="F153" s="136"/>
      <c r="G153" s="76">
        <f>G8*467.7</f>
        <v>467.7</v>
      </c>
      <c r="H153" s="144"/>
      <c r="I153" s="5"/>
      <c r="J153" s="7"/>
      <c r="K153" s="6"/>
    </row>
    <row r="154" spans="1:14" s="2" customFormat="1" ht="62.45" customHeight="1" outlineLevel="1">
      <c r="A154" s="178" t="s">
        <v>77</v>
      </c>
      <c r="B154" s="179" t="s">
        <v>521</v>
      </c>
      <c r="C154" s="179" t="s">
        <v>620</v>
      </c>
      <c r="D154" s="180" t="s">
        <v>145</v>
      </c>
      <c r="E154" s="153"/>
      <c r="F154" s="153"/>
      <c r="G154" s="154"/>
      <c r="H154" s="163"/>
      <c r="I154" s="5"/>
    </row>
    <row r="155" spans="1:14" s="2" customFormat="1" ht="31.15" customHeight="1" outlineLevel="1">
      <c r="A155" s="92" t="s">
        <v>554</v>
      </c>
      <c r="B155" s="133" t="s">
        <v>950</v>
      </c>
      <c r="C155" s="133"/>
      <c r="D155" s="184" t="s">
        <v>145</v>
      </c>
      <c r="E155" s="136">
        <f>G8*834.11</f>
        <v>834.11</v>
      </c>
      <c r="F155" s="136"/>
      <c r="G155" s="76">
        <f>G8*91.75</f>
        <v>91.75</v>
      </c>
      <c r="H155" s="144" t="s">
        <v>66</v>
      </c>
      <c r="I155" s="5"/>
      <c r="J155" s="7"/>
    </row>
    <row r="156" spans="1:14" s="2" customFormat="1" ht="31.15" customHeight="1" outlineLevel="1">
      <c r="A156" s="92" t="s">
        <v>555</v>
      </c>
      <c r="B156" s="133" t="s">
        <v>951</v>
      </c>
      <c r="C156" s="133"/>
      <c r="D156" s="184" t="s">
        <v>145</v>
      </c>
      <c r="E156" s="136">
        <f>G8*1217.8</f>
        <v>1217.8</v>
      </c>
      <c r="F156" s="136"/>
      <c r="G156" s="76">
        <f>G8*133.96</f>
        <v>133.96</v>
      </c>
      <c r="H156" s="144" t="s">
        <v>66</v>
      </c>
      <c r="I156" s="5"/>
      <c r="J156" s="7"/>
    </row>
    <row r="157" spans="1:14" s="2" customFormat="1" ht="96.75" customHeight="1" outlineLevel="1">
      <c r="A157" s="178" t="s">
        <v>78</v>
      </c>
      <c r="B157" s="179" t="s">
        <v>952</v>
      </c>
      <c r="C157" s="179" t="s">
        <v>661</v>
      </c>
      <c r="D157" s="180" t="s">
        <v>145</v>
      </c>
      <c r="E157" s="181"/>
      <c r="F157" s="181"/>
      <c r="G157" s="182"/>
      <c r="H157" s="163"/>
      <c r="I157" s="5"/>
      <c r="J157" s="7"/>
    </row>
    <row r="158" spans="1:14" s="2" customFormat="1" ht="33" customHeight="1" outlineLevel="1">
      <c r="A158" s="92" t="s">
        <v>679</v>
      </c>
      <c r="B158" s="165" t="s">
        <v>953</v>
      </c>
      <c r="C158" s="165"/>
      <c r="D158" s="184" t="s">
        <v>145</v>
      </c>
      <c r="E158" s="136">
        <f>G8*1354.73</f>
        <v>1354.73</v>
      </c>
      <c r="F158" s="136"/>
      <c r="G158" s="76">
        <f>G8*116.1</f>
        <v>116.1</v>
      </c>
      <c r="H158" s="168"/>
      <c r="I158" s="5"/>
      <c r="J158" s="7"/>
    </row>
    <row r="159" spans="1:14" s="2" customFormat="1" ht="33" customHeight="1" outlineLevel="1">
      <c r="A159" s="92" t="s">
        <v>680</v>
      </c>
      <c r="B159" s="165" t="s">
        <v>954</v>
      </c>
      <c r="C159" s="165"/>
      <c r="D159" s="184" t="s">
        <v>145</v>
      </c>
      <c r="E159" s="136">
        <f>G8*1625.24</f>
        <v>1625.24</v>
      </c>
      <c r="F159" s="136"/>
      <c r="G159" s="76">
        <f>G8*139.1</f>
        <v>139.1</v>
      </c>
      <c r="H159" s="168"/>
      <c r="I159" s="5"/>
      <c r="J159" s="7"/>
    </row>
    <row r="160" spans="1:14" s="2" customFormat="1" ht="69.75" customHeight="1" outlineLevel="1">
      <c r="A160" s="177" t="s">
        <v>79</v>
      </c>
      <c r="B160" s="133" t="s">
        <v>955</v>
      </c>
      <c r="C160" s="133" t="s">
        <v>102</v>
      </c>
      <c r="D160" s="135" t="s">
        <v>36</v>
      </c>
      <c r="E160" s="136">
        <f>G8*29112.51</f>
        <v>29112.51</v>
      </c>
      <c r="F160" s="136"/>
      <c r="G160" s="76">
        <f>G8*4459.14</f>
        <v>4459.1400000000003</v>
      </c>
      <c r="H160" s="144" t="s">
        <v>66</v>
      </c>
      <c r="I160" s="5"/>
    </row>
    <row r="161" spans="1:9" s="2" customFormat="1" ht="62.45" customHeight="1" outlineLevel="1">
      <c r="A161" s="177" t="s">
        <v>80</v>
      </c>
      <c r="B161" s="133" t="s">
        <v>956</v>
      </c>
      <c r="C161" s="133" t="s">
        <v>103</v>
      </c>
      <c r="D161" s="135" t="s">
        <v>36</v>
      </c>
      <c r="E161" s="136">
        <f>G8*31364.83</f>
        <v>31364.83</v>
      </c>
      <c r="F161" s="136"/>
      <c r="G161" s="76">
        <f>G8*4459.14</f>
        <v>4459.1400000000003</v>
      </c>
      <c r="H161" s="144" t="s">
        <v>66</v>
      </c>
      <c r="I161" s="5"/>
    </row>
    <row r="162" spans="1:9" s="2" customFormat="1" ht="62.45" customHeight="1" outlineLevel="1">
      <c r="A162" s="177" t="s">
        <v>81</v>
      </c>
      <c r="B162" s="133" t="s">
        <v>957</v>
      </c>
      <c r="C162" s="133" t="s">
        <v>92</v>
      </c>
      <c r="D162" s="135" t="s">
        <v>36</v>
      </c>
      <c r="E162" s="136">
        <f>G8*33324.81</f>
        <v>33324.81</v>
      </c>
      <c r="F162" s="136"/>
      <c r="G162" s="76">
        <f>G8*4459.14</f>
        <v>4459.1400000000003</v>
      </c>
      <c r="H162" s="144" t="s">
        <v>66</v>
      </c>
      <c r="I162" s="5"/>
    </row>
    <row r="163" spans="1:9" s="2" customFormat="1" ht="62.45" customHeight="1" outlineLevel="1">
      <c r="A163" s="177" t="s">
        <v>82</v>
      </c>
      <c r="B163" s="133" t="s">
        <v>958</v>
      </c>
      <c r="C163" s="133" t="s">
        <v>93</v>
      </c>
      <c r="D163" s="135" t="s">
        <v>36</v>
      </c>
      <c r="E163" s="136">
        <f>G8*40537.58</f>
        <v>40537.58</v>
      </c>
      <c r="F163" s="136"/>
      <c r="G163" s="76">
        <f>G8*4459.14</f>
        <v>4459.1400000000003</v>
      </c>
      <c r="H163" s="144" t="s">
        <v>66</v>
      </c>
      <c r="I163" s="5"/>
    </row>
    <row r="164" spans="1:9" s="2" customFormat="1" ht="62.45" customHeight="1" outlineLevel="1">
      <c r="A164" s="177" t="s">
        <v>83</v>
      </c>
      <c r="B164" s="133" t="s">
        <v>959</v>
      </c>
      <c r="C164" s="133" t="s">
        <v>94</v>
      </c>
      <c r="D164" s="135" t="s">
        <v>36</v>
      </c>
      <c r="E164" s="136">
        <f>G8*11013.75</f>
        <v>11013.75</v>
      </c>
      <c r="F164" s="136"/>
      <c r="G164" s="76">
        <f>G8*1211.51</f>
        <v>1211.51</v>
      </c>
      <c r="H164" s="144" t="s">
        <v>66</v>
      </c>
      <c r="I164" s="5"/>
    </row>
    <row r="165" spans="1:9" s="2" customFormat="1" ht="60.75" customHeight="1" outlineLevel="1">
      <c r="A165" s="177" t="s">
        <v>84</v>
      </c>
      <c r="B165" s="166" t="s">
        <v>1268</v>
      </c>
      <c r="C165" s="166" t="s">
        <v>519</v>
      </c>
      <c r="D165" s="167" t="s">
        <v>36</v>
      </c>
      <c r="E165" s="136">
        <f>G8*15925.95</f>
        <v>15925.95</v>
      </c>
      <c r="F165" s="136"/>
      <c r="G165" s="76">
        <f>G8*1362.83</f>
        <v>1362.83</v>
      </c>
      <c r="H165" s="185"/>
      <c r="I165" s="5"/>
    </row>
    <row r="166" spans="1:9" s="2" customFormat="1" ht="62.45" customHeight="1" outlineLevel="1">
      <c r="A166" s="177" t="s">
        <v>85</v>
      </c>
      <c r="B166" s="133" t="s">
        <v>47</v>
      </c>
      <c r="C166" s="133" t="s">
        <v>100</v>
      </c>
      <c r="D166" s="135" t="s">
        <v>36</v>
      </c>
      <c r="E166" s="136">
        <f>G8*36653.76</f>
        <v>36653.760000000002</v>
      </c>
      <c r="F166" s="136"/>
      <c r="G166" s="76">
        <f>G8*4031.91</f>
        <v>4031.91</v>
      </c>
      <c r="H166" s="144" t="s">
        <v>66</v>
      </c>
      <c r="I166" s="5"/>
    </row>
    <row r="167" spans="1:9" s="2" customFormat="1" ht="71.25" customHeight="1" outlineLevel="1">
      <c r="A167" s="177" t="s">
        <v>86</v>
      </c>
      <c r="B167" s="310" t="s">
        <v>104</v>
      </c>
      <c r="C167" s="310" t="s">
        <v>615</v>
      </c>
      <c r="D167" s="94" t="s">
        <v>88</v>
      </c>
      <c r="E167" s="136">
        <f>G8*1334.73</f>
        <v>1334.73</v>
      </c>
      <c r="F167" s="136"/>
      <c r="G167" s="76">
        <f>G8*146.82</f>
        <v>146.82</v>
      </c>
      <c r="H167" s="187" t="s">
        <v>618</v>
      </c>
      <c r="I167" s="5"/>
    </row>
    <row r="168" spans="1:9" s="2" customFormat="1" ht="71.25" customHeight="1" outlineLevel="1">
      <c r="A168" s="177" t="s">
        <v>123</v>
      </c>
      <c r="B168" s="310" t="s">
        <v>590</v>
      </c>
      <c r="C168" s="310" t="s">
        <v>616</v>
      </c>
      <c r="D168" s="94" t="s">
        <v>88</v>
      </c>
      <c r="E168" s="136">
        <f>G8*616.06</f>
        <v>616.05999999999995</v>
      </c>
      <c r="F168" s="136"/>
      <c r="G168" s="76">
        <f>G8*67.77</f>
        <v>67.77</v>
      </c>
      <c r="H168" s="187" t="s">
        <v>618</v>
      </c>
      <c r="I168" s="5"/>
    </row>
    <row r="169" spans="1:9" s="2" customFormat="1" ht="88.5" customHeight="1" outlineLevel="1">
      <c r="A169" s="177" t="s">
        <v>124</v>
      </c>
      <c r="B169" s="310" t="s">
        <v>591</v>
      </c>
      <c r="C169" s="310" t="s">
        <v>838</v>
      </c>
      <c r="D169" s="94" t="s">
        <v>88</v>
      </c>
      <c r="E169" s="136">
        <f>G8*471</f>
        <v>471</v>
      </c>
      <c r="F169" s="136"/>
      <c r="G169" s="76">
        <f>G8*42</f>
        <v>42</v>
      </c>
      <c r="H169" s="188" t="s">
        <v>1264</v>
      </c>
      <c r="I169" s="5"/>
    </row>
    <row r="170" spans="1:9" s="2" customFormat="1" ht="82.5" customHeight="1" outlineLevel="1">
      <c r="A170" s="177" t="s">
        <v>126</v>
      </c>
      <c r="B170" s="310" t="s">
        <v>617</v>
      </c>
      <c r="C170" s="310" t="s">
        <v>960</v>
      </c>
      <c r="D170" s="94" t="s">
        <v>88</v>
      </c>
      <c r="E170" s="136">
        <f>G8*157.41</f>
        <v>157.41</v>
      </c>
      <c r="F170" s="136"/>
      <c r="G170" s="76">
        <f>G8*17.32</f>
        <v>17.32</v>
      </c>
      <c r="H170" s="187" t="s">
        <v>1265</v>
      </c>
      <c r="I170" s="5"/>
    </row>
    <row r="171" spans="1:9" s="2" customFormat="1" ht="62.45" customHeight="1" outlineLevel="1">
      <c r="A171" s="177" t="s">
        <v>129</v>
      </c>
      <c r="B171" s="310" t="s">
        <v>520</v>
      </c>
      <c r="C171" s="310" t="s">
        <v>746</v>
      </c>
      <c r="D171" s="94" t="s">
        <v>36</v>
      </c>
      <c r="E171" s="136">
        <f>G8*2781.82</f>
        <v>2781.82</v>
      </c>
      <c r="F171" s="136"/>
      <c r="G171" s="76">
        <f>G8*279</f>
        <v>279</v>
      </c>
      <c r="H171" s="187" t="s">
        <v>666</v>
      </c>
      <c r="I171" s="5"/>
    </row>
    <row r="172" spans="1:9" s="2" customFormat="1" ht="111" customHeight="1" outlineLevel="1">
      <c r="A172" s="178" t="s">
        <v>132</v>
      </c>
      <c r="B172" s="140" t="s">
        <v>961</v>
      </c>
      <c r="C172" s="179" t="s">
        <v>843</v>
      </c>
      <c r="D172" s="131" t="s">
        <v>49</v>
      </c>
      <c r="E172" s="153"/>
      <c r="F172" s="153"/>
      <c r="G172" s="154"/>
      <c r="H172" s="189"/>
      <c r="I172" s="5"/>
    </row>
    <row r="173" spans="1:9" s="2" customFormat="1" ht="19.5" customHeight="1" outlineLevel="1">
      <c r="A173" s="190" t="s">
        <v>644</v>
      </c>
      <c r="B173" s="36" t="s">
        <v>718</v>
      </c>
      <c r="C173" s="191"/>
      <c r="D173" s="135" t="s">
        <v>49</v>
      </c>
      <c r="E173" s="136">
        <f>G8*13543.24</f>
        <v>13543.24</v>
      </c>
      <c r="F173" s="136"/>
      <c r="G173" s="76">
        <f>G8*1991.65</f>
        <v>1991.65</v>
      </c>
      <c r="H173" s="144"/>
      <c r="I173" s="5"/>
    </row>
    <row r="174" spans="1:9" s="2" customFormat="1" ht="19.5" customHeight="1" outlineLevel="1">
      <c r="A174" s="190" t="s">
        <v>645</v>
      </c>
      <c r="B174" s="133" t="s">
        <v>842</v>
      </c>
      <c r="C174" s="133"/>
      <c r="D174" s="135" t="s">
        <v>49</v>
      </c>
      <c r="E174" s="136">
        <f>G8*14651.84</f>
        <v>14651.84</v>
      </c>
      <c r="F174" s="136"/>
      <c r="G174" s="76">
        <f>G8*1991.65</f>
        <v>1991.65</v>
      </c>
      <c r="H174" s="144"/>
      <c r="I174" s="5"/>
    </row>
    <row r="175" spans="1:9" s="2" customFormat="1" ht="19.5" customHeight="1" outlineLevel="1">
      <c r="A175" s="190" t="s">
        <v>646</v>
      </c>
      <c r="B175" s="133" t="s">
        <v>805</v>
      </c>
      <c r="C175" s="133"/>
      <c r="D175" s="135" t="s">
        <v>49</v>
      </c>
      <c r="E175" s="136">
        <f>G8*19916.53</f>
        <v>19916.53</v>
      </c>
      <c r="F175" s="136"/>
      <c r="G175" s="76">
        <f>G8*1991.65</f>
        <v>1991.65</v>
      </c>
      <c r="H175" s="144"/>
      <c r="I175" s="5"/>
    </row>
    <row r="176" spans="1:9" s="2" customFormat="1" ht="23.25" customHeight="1" outlineLevel="1">
      <c r="A176" s="190" t="s">
        <v>807</v>
      </c>
      <c r="B176" s="133" t="s">
        <v>806</v>
      </c>
      <c r="C176" s="133"/>
      <c r="D176" s="135" t="s">
        <v>49</v>
      </c>
      <c r="E176" s="136">
        <f>G8*27683.73</f>
        <v>27683.73</v>
      </c>
      <c r="F176" s="136"/>
      <c r="G176" s="76">
        <f>G8*1991.65</f>
        <v>1991.65</v>
      </c>
      <c r="H176" s="144"/>
      <c r="I176" s="5"/>
    </row>
    <row r="177" spans="1:12" s="2" customFormat="1" ht="87.75" customHeight="1" outlineLevel="1">
      <c r="A177" s="192" t="s">
        <v>134</v>
      </c>
      <c r="B177" s="133" t="s">
        <v>592</v>
      </c>
      <c r="C177" s="133" t="s">
        <v>755</v>
      </c>
      <c r="D177" s="135" t="s">
        <v>49</v>
      </c>
      <c r="E177" s="136">
        <f>G8*12450.38</f>
        <v>12450.38</v>
      </c>
      <c r="F177" s="136"/>
      <c r="G177" s="76">
        <f>G8*1991.65</f>
        <v>1991.65</v>
      </c>
      <c r="H177" s="144"/>
      <c r="I177" s="5"/>
      <c r="L177" s="5"/>
    </row>
    <row r="178" spans="1:12" s="2" customFormat="1" ht="59.25" customHeight="1" outlineLevel="1">
      <c r="A178" s="192" t="s">
        <v>143</v>
      </c>
      <c r="B178" s="133" t="s">
        <v>963</v>
      </c>
      <c r="C178" s="133" t="s">
        <v>19</v>
      </c>
      <c r="D178" s="135" t="s">
        <v>2</v>
      </c>
      <c r="E178" s="136">
        <f>G8*52866</f>
        <v>52866</v>
      </c>
      <c r="F178" s="136"/>
      <c r="G178" s="76">
        <f>G8*52866</f>
        <v>52866</v>
      </c>
      <c r="H178" s="144"/>
      <c r="I178" s="5"/>
    </row>
    <row r="179" spans="1:12" s="2" customFormat="1" ht="99.75" customHeight="1" outlineLevel="1">
      <c r="A179" s="192" t="s">
        <v>522</v>
      </c>
      <c r="B179" s="133" t="s">
        <v>964</v>
      </c>
      <c r="C179" s="133" t="s">
        <v>962</v>
      </c>
      <c r="D179" s="135" t="s">
        <v>36</v>
      </c>
      <c r="E179" s="136">
        <f>G8*21374.02</f>
        <v>21374.02</v>
      </c>
      <c r="F179" s="136"/>
      <c r="G179" s="76">
        <f>G8*3206.1</f>
        <v>3206.1</v>
      </c>
      <c r="H179" s="152" t="s">
        <v>965</v>
      </c>
      <c r="I179" s="5"/>
      <c r="J179" s="397"/>
    </row>
    <row r="180" spans="1:12" s="2" customFormat="1" ht="99.75" customHeight="1" outlineLevel="1">
      <c r="A180" s="192" t="s">
        <v>523</v>
      </c>
      <c r="B180" s="133" t="s">
        <v>967</v>
      </c>
      <c r="C180" s="133" t="s">
        <v>837</v>
      </c>
      <c r="D180" s="135" t="s">
        <v>826</v>
      </c>
      <c r="E180" s="136">
        <f>G8*15604.84</f>
        <v>15604.84</v>
      </c>
      <c r="F180" s="136"/>
      <c r="G180" s="76">
        <f>G8*1436.44</f>
        <v>1436.44</v>
      </c>
      <c r="H180" s="152" t="s">
        <v>966</v>
      </c>
      <c r="I180" s="5"/>
      <c r="J180" s="397"/>
    </row>
    <row r="181" spans="1:12" s="2" customFormat="1" ht="60.75" customHeight="1" outlineLevel="1">
      <c r="A181" s="192" t="s">
        <v>524</v>
      </c>
      <c r="B181" s="133" t="s">
        <v>825</v>
      </c>
      <c r="C181" s="133" t="s">
        <v>827</v>
      </c>
      <c r="D181" s="135" t="s">
        <v>36</v>
      </c>
      <c r="E181" s="136">
        <f>G8*3375</f>
        <v>3375</v>
      </c>
      <c r="F181" s="136"/>
      <c r="G181" s="76">
        <f>G8*403.84</f>
        <v>403.84</v>
      </c>
      <c r="H181" s="152" t="s">
        <v>829</v>
      </c>
      <c r="I181" s="5"/>
      <c r="J181" s="397"/>
    </row>
    <row r="182" spans="1:12" s="2" customFormat="1" ht="94.5" customHeight="1" outlineLevel="1">
      <c r="A182" s="192" t="s">
        <v>588</v>
      </c>
      <c r="B182" s="133" t="s">
        <v>41</v>
      </c>
      <c r="C182" s="133" t="s">
        <v>526</v>
      </c>
      <c r="D182" s="135" t="s">
        <v>42</v>
      </c>
      <c r="E182" s="136">
        <f>G8*5052.26</f>
        <v>5052.26</v>
      </c>
      <c r="F182" s="136"/>
      <c r="G182" s="76">
        <f>G8*14.63</f>
        <v>14.63</v>
      </c>
      <c r="H182" s="133" t="s">
        <v>66</v>
      </c>
      <c r="I182" s="5"/>
    </row>
    <row r="183" spans="1:12" s="2" customFormat="1" ht="39.75" customHeight="1" outlineLevel="1">
      <c r="A183" s="193" t="s">
        <v>600</v>
      </c>
      <c r="B183" s="66" t="s">
        <v>48</v>
      </c>
      <c r="C183" s="66" t="s">
        <v>108</v>
      </c>
      <c r="D183" s="88"/>
      <c r="E183" s="194"/>
      <c r="F183" s="194"/>
      <c r="G183" s="81"/>
      <c r="H183" s="195"/>
      <c r="I183" s="5"/>
    </row>
    <row r="184" spans="1:12" s="2" customFormat="1" ht="39.75" customHeight="1" outlineLevel="1">
      <c r="A184" s="190" t="s">
        <v>835</v>
      </c>
      <c r="B184" s="133" t="s">
        <v>834</v>
      </c>
      <c r="C184" s="133"/>
      <c r="D184" s="135" t="s">
        <v>3</v>
      </c>
      <c r="E184" s="136">
        <f>G8*8458.56</f>
        <v>8458.56</v>
      </c>
      <c r="F184" s="136"/>
      <c r="G184" s="76">
        <f>G8*930.44</f>
        <v>930.44</v>
      </c>
      <c r="H184" s="152" t="s">
        <v>667</v>
      </c>
      <c r="I184" s="5"/>
    </row>
    <row r="185" spans="1:12" s="2" customFormat="1" ht="39.75" customHeight="1" outlineLevel="1">
      <c r="A185" s="190" t="s">
        <v>836</v>
      </c>
      <c r="B185" s="133" t="s">
        <v>91</v>
      </c>
      <c r="C185" s="133"/>
      <c r="D185" s="135" t="s">
        <v>3</v>
      </c>
      <c r="E185" s="136">
        <f>G8*8458.56</f>
        <v>8458.56</v>
      </c>
      <c r="F185" s="136"/>
      <c r="G185" s="76">
        <f>G8*930.44</f>
        <v>930.44</v>
      </c>
      <c r="H185" s="152" t="s">
        <v>667</v>
      </c>
      <c r="I185" s="5"/>
    </row>
    <row r="186" spans="1:12" s="2" customFormat="1" ht="121.5" customHeight="1" outlineLevel="1">
      <c r="A186" s="192" t="s">
        <v>601</v>
      </c>
      <c r="B186" s="138" t="s">
        <v>267</v>
      </c>
      <c r="C186" s="138" t="s">
        <v>968</v>
      </c>
      <c r="D186" s="196" t="s">
        <v>5</v>
      </c>
      <c r="E186" s="75">
        <f>G8*20424.8</f>
        <v>20424.8</v>
      </c>
      <c r="F186" s="136"/>
      <c r="G186" s="83">
        <f>G8*1429.74</f>
        <v>1429.74</v>
      </c>
      <c r="H186" s="144"/>
      <c r="I186" s="5"/>
    </row>
    <row r="187" spans="1:12" s="2" customFormat="1" ht="95.25" customHeight="1" outlineLevel="1">
      <c r="A187" s="192" t="s">
        <v>602</v>
      </c>
      <c r="B187" s="197" t="s">
        <v>969</v>
      </c>
      <c r="C187" s="166" t="s">
        <v>971</v>
      </c>
      <c r="D187" s="196" t="s">
        <v>5</v>
      </c>
      <c r="E187" s="75">
        <f>G8*65532.81</f>
        <v>65532.81</v>
      </c>
      <c r="F187" s="136"/>
      <c r="G187" s="83">
        <f>G8*9685.25</f>
        <v>9685.25</v>
      </c>
      <c r="H187" s="156"/>
      <c r="I187" s="19"/>
    </row>
    <row r="188" spans="1:12" s="2" customFormat="1" ht="111" customHeight="1" outlineLevel="1">
      <c r="A188" s="192" t="s">
        <v>614</v>
      </c>
      <c r="B188" s="197" t="s">
        <v>970</v>
      </c>
      <c r="C188" s="166" t="s">
        <v>972</v>
      </c>
      <c r="D188" s="196" t="s">
        <v>5</v>
      </c>
      <c r="E188" s="75">
        <f>G8*65532.81</f>
        <v>65532.81</v>
      </c>
      <c r="F188" s="136"/>
      <c r="G188" s="83">
        <f>G8*7685.25</f>
        <v>7685.25</v>
      </c>
      <c r="H188" s="156"/>
      <c r="I188" s="19"/>
    </row>
    <row r="189" spans="1:12" s="2" customFormat="1" ht="85.5" customHeight="1" outlineLevel="1">
      <c r="A189" s="192" t="s">
        <v>625</v>
      </c>
      <c r="B189" s="197" t="s">
        <v>1279</v>
      </c>
      <c r="C189" s="166" t="s">
        <v>973</v>
      </c>
      <c r="D189" s="196" t="s">
        <v>5</v>
      </c>
      <c r="E189" s="75">
        <f>G8*20349.23</f>
        <v>20349.23</v>
      </c>
      <c r="F189" s="136"/>
      <c r="G189" s="83">
        <f>G8*1741.5</f>
        <v>1741.5</v>
      </c>
      <c r="H189" s="144"/>
      <c r="I189" s="5"/>
    </row>
    <row r="190" spans="1:12" s="2" customFormat="1" ht="109.15" customHeight="1" outlineLevel="1">
      <c r="A190" s="192" t="s">
        <v>647</v>
      </c>
      <c r="B190" s="198" t="s">
        <v>1280</v>
      </c>
      <c r="C190" s="166" t="s">
        <v>974</v>
      </c>
      <c r="D190" s="167" t="s">
        <v>4</v>
      </c>
      <c r="E190" s="75">
        <f>G8*153200</f>
        <v>153200</v>
      </c>
      <c r="F190" s="136"/>
      <c r="G190" s="83">
        <f>G8*25576</f>
        <v>25576</v>
      </c>
      <c r="H190" s="144" t="s">
        <v>66</v>
      </c>
      <c r="I190" s="5"/>
    </row>
    <row r="191" spans="1:12" s="2" customFormat="1" ht="39" customHeight="1" outlineLevel="1">
      <c r="A191" s="192" t="s">
        <v>828</v>
      </c>
      <c r="B191" s="133" t="s">
        <v>57</v>
      </c>
      <c r="C191" s="133" t="s">
        <v>58</v>
      </c>
      <c r="D191" s="135" t="s">
        <v>54</v>
      </c>
      <c r="E191" s="136">
        <f>G8*2037.54</f>
        <v>2037.54</v>
      </c>
      <c r="F191" s="136"/>
      <c r="G191" s="76">
        <f>G8*224.13</f>
        <v>224.13</v>
      </c>
      <c r="H191" s="144" t="s">
        <v>66</v>
      </c>
      <c r="I191" s="5"/>
    </row>
    <row r="192" spans="1:12" s="2" customFormat="1" ht="115.15" customHeight="1" outlineLevel="1">
      <c r="A192" s="398" t="s">
        <v>847</v>
      </c>
      <c r="B192" s="399"/>
      <c r="C192" s="399"/>
      <c r="D192" s="399"/>
      <c r="E192" s="399"/>
      <c r="F192" s="399"/>
      <c r="G192" s="399"/>
      <c r="H192" s="399"/>
      <c r="I192" s="5"/>
    </row>
    <row r="193" spans="1:9" s="2" customFormat="1" ht="43.15" customHeight="1">
      <c r="A193" s="378" t="s">
        <v>975</v>
      </c>
      <c r="B193" s="378"/>
      <c r="C193" s="378"/>
      <c r="D193" s="378"/>
      <c r="E193" s="378"/>
      <c r="F193" s="378"/>
      <c r="G193" s="378"/>
      <c r="H193" s="378"/>
      <c r="I193" s="5"/>
    </row>
    <row r="194" spans="1:9" s="2" customFormat="1" ht="29.25" customHeight="1" outlineLevel="1">
      <c r="A194" s="384" t="s">
        <v>483</v>
      </c>
      <c r="B194" s="384"/>
      <c r="C194" s="384"/>
      <c r="D194" s="199"/>
      <c r="E194" s="200"/>
      <c r="F194" s="200"/>
      <c r="G194" s="200"/>
      <c r="H194" s="200"/>
      <c r="I194" s="5"/>
    </row>
    <row r="195" spans="1:9" s="2" customFormat="1" ht="72.75" customHeight="1" outlineLevel="1">
      <c r="A195" s="99" t="s">
        <v>268</v>
      </c>
      <c r="B195" s="201" t="s">
        <v>978</v>
      </c>
      <c r="C195" s="202" t="s">
        <v>664</v>
      </c>
      <c r="D195" s="203" t="s">
        <v>54</v>
      </c>
      <c r="E195" s="204">
        <f>G8*124.75</f>
        <v>124.75</v>
      </c>
      <c r="F195" s="205"/>
      <c r="G195" s="205">
        <f>G8*13.72</f>
        <v>13.72</v>
      </c>
      <c r="H195" s="152" t="s">
        <v>589</v>
      </c>
      <c r="I195" s="56"/>
    </row>
    <row r="196" spans="1:9" s="2" customFormat="1" ht="69" customHeight="1" outlineLevel="1">
      <c r="A196" s="99" t="s">
        <v>269</v>
      </c>
      <c r="B196" s="201" t="s">
        <v>980</v>
      </c>
      <c r="C196" s="202" t="s">
        <v>664</v>
      </c>
      <c r="D196" s="130" t="s">
        <v>54</v>
      </c>
      <c r="E196" s="75">
        <f>G8*182.12</f>
        <v>182.12</v>
      </c>
      <c r="F196" s="83"/>
      <c r="G196" s="83">
        <f>G8*20.03</f>
        <v>20.03</v>
      </c>
      <c r="H196" s="152" t="s">
        <v>589</v>
      </c>
      <c r="I196" s="56"/>
    </row>
    <row r="197" spans="1:9" s="2" customFormat="1" ht="90.75" customHeight="1" outlineLevel="1">
      <c r="A197" s="99" t="s">
        <v>270</v>
      </c>
      <c r="B197" s="133" t="s">
        <v>981</v>
      </c>
      <c r="C197" s="202" t="s">
        <v>664</v>
      </c>
      <c r="D197" s="135" t="s">
        <v>54</v>
      </c>
      <c r="E197" s="136">
        <f>G8*275.25</f>
        <v>275.25</v>
      </c>
      <c r="F197" s="76"/>
      <c r="G197" s="76">
        <f>G8*30.23</f>
        <v>30.23</v>
      </c>
      <c r="H197" s="152" t="s">
        <v>538</v>
      </c>
      <c r="I197" s="5"/>
    </row>
    <row r="198" spans="1:9" s="2" customFormat="1" ht="55.5" customHeight="1" outlineLevel="1">
      <c r="A198" s="99" t="s">
        <v>271</v>
      </c>
      <c r="B198" s="201" t="s">
        <v>741</v>
      </c>
      <c r="C198" s="165" t="s">
        <v>711</v>
      </c>
      <c r="D198" s="130" t="s">
        <v>54</v>
      </c>
      <c r="E198" s="75">
        <f>G8*224.17</f>
        <v>224.17</v>
      </c>
      <c r="F198" s="83"/>
      <c r="G198" s="83">
        <f>G8*24.98</f>
        <v>24.98</v>
      </c>
      <c r="H198" s="206" t="s">
        <v>525</v>
      </c>
      <c r="I198" s="5"/>
    </row>
    <row r="199" spans="1:9" s="2" customFormat="1" ht="38.25" outlineLevel="1">
      <c r="A199" s="99" t="s">
        <v>272</v>
      </c>
      <c r="B199" s="101" t="s">
        <v>979</v>
      </c>
      <c r="C199" s="207" t="s">
        <v>712</v>
      </c>
      <c r="D199" s="130" t="s">
        <v>54</v>
      </c>
      <c r="E199" s="75">
        <f>G8*690.19</f>
        <v>690.19</v>
      </c>
      <c r="F199" s="83"/>
      <c r="G199" s="83">
        <f>G8*63.54</f>
        <v>63.54</v>
      </c>
      <c r="H199" s="233"/>
      <c r="I199" s="5"/>
    </row>
    <row r="200" spans="1:9" s="2" customFormat="1" ht="63.75" customHeight="1" outlineLevel="1">
      <c r="A200" s="99" t="s">
        <v>273</v>
      </c>
      <c r="B200" s="201" t="s">
        <v>982</v>
      </c>
      <c r="C200" s="310" t="s">
        <v>976</v>
      </c>
      <c r="D200" s="127" t="s">
        <v>53</v>
      </c>
      <c r="E200" s="75">
        <f>G8*1026.62</f>
        <v>1026.6199999999999</v>
      </c>
      <c r="F200" s="83"/>
      <c r="G200" s="83">
        <f>G8*102.66</f>
        <v>102.66</v>
      </c>
      <c r="H200" s="206" t="s">
        <v>808</v>
      </c>
      <c r="I200" s="5"/>
    </row>
    <row r="201" spans="1:9" s="2" customFormat="1" ht="94.5" customHeight="1" outlineLevel="1">
      <c r="A201" s="99" t="s">
        <v>274</v>
      </c>
      <c r="B201" s="310" t="s">
        <v>231</v>
      </c>
      <c r="C201" s="133" t="s">
        <v>983</v>
      </c>
      <c r="D201" s="208" t="s">
        <v>357</v>
      </c>
      <c r="E201" s="209">
        <f>G8*783.09</f>
        <v>783.09</v>
      </c>
      <c r="F201" s="83"/>
      <c r="G201" s="83">
        <v>0</v>
      </c>
      <c r="H201" s="210" t="s">
        <v>66</v>
      </c>
      <c r="I201" s="5"/>
    </row>
    <row r="202" spans="1:9" s="2" customFormat="1" ht="105.75" customHeight="1" outlineLevel="1">
      <c r="A202" s="211" t="s">
        <v>275</v>
      </c>
      <c r="B202" s="140" t="s">
        <v>527</v>
      </c>
      <c r="C202" s="140" t="s">
        <v>984</v>
      </c>
      <c r="D202" s="212"/>
      <c r="E202" s="153"/>
      <c r="F202" s="154"/>
      <c r="G202" s="154"/>
      <c r="H202" s="155"/>
      <c r="I202" s="5"/>
    </row>
    <row r="203" spans="1:9" s="2" customFormat="1" ht="38.25" customHeight="1" outlineLevel="1">
      <c r="A203" s="159" t="s">
        <v>648</v>
      </c>
      <c r="B203" s="133" t="s">
        <v>985</v>
      </c>
      <c r="C203" s="310"/>
      <c r="D203" s="135" t="s">
        <v>54</v>
      </c>
      <c r="E203" s="136">
        <f>G8*151.27</f>
        <v>151.27000000000001</v>
      </c>
      <c r="F203" s="76"/>
      <c r="G203" s="76">
        <f>G8*13.93</f>
        <v>13.93</v>
      </c>
      <c r="H203" s="152" t="s">
        <v>537</v>
      </c>
      <c r="I203" s="5"/>
    </row>
    <row r="204" spans="1:9" s="2" customFormat="1" ht="38.25" customHeight="1" outlineLevel="1">
      <c r="A204" s="159" t="s">
        <v>649</v>
      </c>
      <c r="B204" s="133" t="s">
        <v>986</v>
      </c>
      <c r="C204" s="310"/>
      <c r="D204" s="135" t="s">
        <v>54</v>
      </c>
      <c r="E204" s="136">
        <f>G8*164.3</f>
        <v>164.3</v>
      </c>
      <c r="F204" s="76"/>
      <c r="G204" s="76">
        <f>G8*15.13</f>
        <v>15.13</v>
      </c>
      <c r="H204" s="152" t="s">
        <v>537</v>
      </c>
      <c r="I204" s="5"/>
    </row>
    <row r="205" spans="1:9" s="2" customFormat="1" ht="38.25" customHeight="1" outlineLevel="1">
      <c r="A205" s="159" t="s">
        <v>650</v>
      </c>
      <c r="B205" s="133" t="s">
        <v>987</v>
      </c>
      <c r="C205" s="310"/>
      <c r="D205" s="135" t="s">
        <v>54</v>
      </c>
      <c r="E205" s="136">
        <f>G8*181.44</f>
        <v>181.44</v>
      </c>
      <c r="F205" s="76"/>
      <c r="G205" s="76">
        <f>G8*16.71</f>
        <v>16.71</v>
      </c>
      <c r="H205" s="152" t="s">
        <v>537</v>
      </c>
      <c r="I205" s="5"/>
    </row>
    <row r="206" spans="1:9" s="2" customFormat="1" ht="38.25" customHeight="1" outlineLevel="1">
      <c r="A206" s="159" t="s">
        <v>651</v>
      </c>
      <c r="B206" s="133" t="s">
        <v>988</v>
      </c>
      <c r="C206" s="310"/>
      <c r="D206" s="135" t="s">
        <v>54</v>
      </c>
      <c r="E206" s="136">
        <f>G8*203.44</f>
        <v>203.44</v>
      </c>
      <c r="F206" s="76"/>
      <c r="G206" s="76">
        <f>G8*18.73</f>
        <v>18.73</v>
      </c>
      <c r="H206" s="152" t="s">
        <v>537</v>
      </c>
      <c r="I206" s="5"/>
    </row>
    <row r="207" spans="1:9" s="2" customFormat="1" ht="38.25" customHeight="1" outlineLevel="1">
      <c r="A207" s="159" t="s">
        <v>652</v>
      </c>
      <c r="B207" s="133" t="s">
        <v>989</v>
      </c>
      <c r="C207" s="310"/>
      <c r="D207" s="135" t="s">
        <v>54</v>
      </c>
      <c r="E207" s="136">
        <f>G8*233.3</f>
        <v>233.3</v>
      </c>
      <c r="F207" s="76"/>
      <c r="G207" s="76">
        <f>G8*21.48</f>
        <v>21.48</v>
      </c>
      <c r="H207" s="152" t="s">
        <v>537</v>
      </c>
      <c r="I207" s="5"/>
    </row>
    <row r="208" spans="1:9" s="2" customFormat="1" ht="42.75" customHeight="1" outlineLevel="1">
      <c r="A208" s="309" t="s">
        <v>276</v>
      </c>
      <c r="B208" s="310" t="s">
        <v>558</v>
      </c>
      <c r="C208" s="133" t="s">
        <v>990</v>
      </c>
      <c r="D208" s="135" t="s">
        <v>36</v>
      </c>
      <c r="E208" s="136">
        <f>G8*76.28</f>
        <v>76.28</v>
      </c>
      <c r="F208" s="76"/>
      <c r="G208" s="76">
        <f>G8*6.75</f>
        <v>6.75</v>
      </c>
      <c r="H208" s="152" t="s">
        <v>537</v>
      </c>
      <c r="I208" s="5"/>
    </row>
    <row r="209" spans="1:10" s="2" customFormat="1" ht="59.25" customHeight="1" outlineLevel="1">
      <c r="A209" s="309" t="s">
        <v>278</v>
      </c>
      <c r="B209" s="133" t="s">
        <v>529</v>
      </c>
      <c r="C209" s="133" t="s">
        <v>528</v>
      </c>
      <c r="D209" s="135" t="s">
        <v>43</v>
      </c>
      <c r="E209" s="136">
        <f>G8*198.45</f>
        <v>198.45</v>
      </c>
      <c r="F209" s="76"/>
      <c r="G209" s="76">
        <f>G8*11.14</f>
        <v>11.14</v>
      </c>
      <c r="H209" s="152" t="s">
        <v>537</v>
      </c>
      <c r="I209" s="5"/>
    </row>
    <row r="210" spans="1:10" s="2" customFormat="1" ht="45" customHeight="1" outlineLevel="1">
      <c r="A210" s="309" t="s">
        <v>279</v>
      </c>
      <c r="B210" s="310" t="s">
        <v>753</v>
      </c>
      <c r="C210" s="133" t="s">
        <v>991</v>
      </c>
      <c r="D210" s="135" t="s">
        <v>36</v>
      </c>
      <c r="E210" s="136">
        <f>G8*114.41</f>
        <v>114.41</v>
      </c>
      <c r="F210" s="76"/>
      <c r="G210" s="76">
        <f>G8*10.53</f>
        <v>10.53</v>
      </c>
      <c r="H210" s="152" t="s">
        <v>537</v>
      </c>
      <c r="I210" s="5"/>
      <c r="J210" s="5"/>
    </row>
    <row r="211" spans="1:10" s="2" customFormat="1" ht="45" customHeight="1" outlineLevel="1">
      <c r="A211" s="213" t="s">
        <v>280</v>
      </c>
      <c r="B211" s="310" t="s">
        <v>992</v>
      </c>
      <c r="C211" s="310" t="s">
        <v>1000</v>
      </c>
      <c r="D211" s="94" t="s">
        <v>36</v>
      </c>
      <c r="E211" s="136">
        <f>G8*20593.58</f>
        <v>20593.580000000002</v>
      </c>
      <c r="F211" s="76"/>
      <c r="G211" s="76">
        <f>G8*1896.08</f>
        <v>1896.08</v>
      </c>
      <c r="H211" s="152" t="s">
        <v>537</v>
      </c>
      <c r="I211" s="5"/>
    </row>
    <row r="212" spans="1:10" s="2" customFormat="1" ht="43.5" customHeight="1" outlineLevel="1">
      <c r="A212" s="213" t="s">
        <v>281</v>
      </c>
      <c r="B212" s="310" t="s">
        <v>993</v>
      </c>
      <c r="C212" s="310" t="s">
        <v>1001</v>
      </c>
      <c r="D212" s="94" t="s">
        <v>36</v>
      </c>
      <c r="E212" s="136">
        <f>G8*23078.25</f>
        <v>23078.25</v>
      </c>
      <c r="F212" s="76"/>
      <c r="G212" s="76">
        <f>G8*2124.9</f>
        <v>2124.9</v>
      </c>
      <c r="H212" s="152" t="s">
        <v>537</v>
      </c>
      <c r="I212" s="5"/>
    </row>
    <row r="213" spans="1:10" s="2" customFormat="1" ht="48.75" customHeight="1" outlineLevel="1">
      <c r="A213" s="213" t="s">
        <v>282</v>
      </c>
      <c r="B213" s="310" t="s">
        <v>994</v>
      </c>
      <c r="C213" s="310" t="s">
        <v>1002</v>
      </c>
      <c r="D213" s="94" t="s">
        <v>36</v>
      </c>
      <c r="E213" s="136">
        <f>G8*2178.9</f>
        <v>2178.9</v>
      </c>
      <c r="F213" s="76"/>
      <c r="G213" s="76">
        <f>G8*200.48</f>
        <v>200.48</v>
      </c>
      <c r="H213" s="152" t="s">
        <v>537</v>
      </c>
      <c r="I213" s="5"/>
    </row>
    <row r="214" spans="1:10" s="2" customFormat="1" ht="48.75" customHeight="1" outlineLevel="1">
      <c r="A214" s="213" t="s">
        <v>283</v>
      </c>
      <c r="B214" s="310" t="s">
        <v>995</v>
      </c>
      <c r="C214" s="310" t="s">
        <v>1003</v>
      </c>
      <c r="D214" s="94" t="s">
        <v>36</v>
      </c>
      <c r="E214" s="136">
        <f>G8*2523.15</f>
        <v>2523.15</v>
      </c>
      <c r="F214" s="76"/>
      <c r="G214" s="76">
        <f>G8*232.2</f>
        <v>232.2</v>
      </c>
      <c r="H214" s="152" t="s">
        <v>537</v>
      </c>
      <c r="I214" s="5"/>
    </row>
    <row r="215" spans="1:10" s="2" customFormat="1" ht="38.25" outlineLevel="1">
      <c r="A215" s="309" t="s">
        <v>284</v>
      </c>
      <c r="B215" s="133" t="s">
        <v>996</v>
      </c>
      <c r="C215" s="133" t="s">
        <v>594</v>
      </c>
      <c r="D215" s="135" t="s">
        <v>54</v>
      </c>
      <c r="E215" s="136">
        <f>G8*48.14</f>
        <v>48.14</v>
      </c>
      <c r="F215" s="76"/>
      <c r="G215" s="76">
        <f>G8*10.86</f>
        <v>10.86</v>
      </c>
      <c r="H215" s="133" t="s">
        <v>66</v>
      </c>
      <c r="I215" s="5"/>
    </row>
    <row r="216" spans="1:10" s="2" customFormat="1" ht="41.45" customHeight="1" outlineLevel="1">
      <c r="A216" s="309" t="s">
        <v>285</v>
      </c>
      <c r="B216" s="133" t="s">
        <v>997</v>
      </c>
      <c r="C216" s="133" t="s">
        <v>594</v>
      </c>
      <c r="D216" s="135" t="s">
        <v>54</v>
      </c>
      <c r="E216" s="136">
        <f>G8*109.59</f>
        <v>109.59</v>
      </c>
      <c r="F216" s="76"/>
      <c r="G216" s="76">
        <f>G8*10.86</f>
        <v>10.86</v>
      </c>
      <c r="H216" s="133" t="s">
        <v>66</v>
      </c>
      <c r="I216" s="5"/>
    </row>
    <row r="217" spans="1:10" s="2" customFormat="1" ht="59.25" customHeight="1" outlineLevel="1">
      <c r="A217" s="309" t="s">
        <v>286</v>
      </c>
      <c r="B217" s="133" t="s">
        <v>998</v>
      </c>
      <c r="C217" s="133" t="s">
        <v>595</v>
      </c>
      <c r="D217" s="135" t="s">
        <v>54</v>
      </c>
      <c r="E217" s="136">
        <f>G8*183.55</f>
        <v>183.55</v>
      </c>
      <c r="F217" s="76"/>
      <c r="G217" s="76">
        <f>G8*10.86</f>
        <v>10.86</v>
      </c>
      <c r="H217" s="133" t="s">
        <v>66</v>
      </c>
      <c r="I217" s="5"/>
    </row>
    <row r="218" spans="1:10" s="2" customFormat="1" ht="75.75" customHeight="1" outlineLevel="1">
      <c r="A218" s="309" t="s">
        <v>287</v>
      </c>
      <c r="B218" s="133" t="s">
        <v>999</v>
      </c>
      <c r="C218" s="133" t="s">
        <v>977</v>
      </c>
      <c r="D218" s="214" t="s">
        <v>54</v>
      </c>
      <c r="E218" s="209">
        <f>G8*584.74</f>
        <v>584.74</v>
      </c>
      <c r="F218" s="76"/>
      <c r="G218" s="83">
        <f>G8*58.48</f>
        <v>58.48</v>
      </c>
      <c r="H218" s="215" t="s">
        <v>66</v>
      </c>
      <c r="I218" s="5"/>
    </row>
    <row r="219" spans="1:10" s="2" customFormat="1" ht="52.5" customHeight="1" outlineLevel="1">
      <c r="A219" s="309" t="s">
        <v>288</v>
      </c>
      <c r="B219" s="133" t="s">
        <v>1004</v>
      </c>
      <c r="C219" s="133" t="s">
        <v>596</v>
      </c>
      <c r="D219" s="135" t="s">
        <v>54</v>
      </c>
      <c r="E219" s="136">
        <f>G8*167.39</f>
        <v>167.39</v>
      </c>
      <c r="F219" s="76"/>
      <c r="G219" s="76">
        <f>G8*16.59</f>
        <v>16.59</v>
      </c>
      <c r="H219" s="133" t="s">
        <v>66</v>
      </c>
      <c r="I219" s="5"/>
    </row>
    <row r="220" spans="1:10" s="2" customFormat="1" ht="105" customHeight="1" outlineLevel="1">
      <c r="A220" s="309" t="s">
        <v>290</v>
      </c>
      <c r="B220" s="198" t="s">
        <v>1005</v>
      </c>
      <c r="C220" s="166" t="s">
        <v>1007</v>
      </c>
      <c r="D220" s="167" t="s">
        <v>44</v>
      </c>
      <c r="E220" s="136">
        <f>G8*165.92</f>
        <v>165.92</v>
      </c>
      <c r="F220" s="76"/>
      <c r="G220" s="83">
        <f>G8*8.91</f>
        <v>8.91</v>
      </c>
      <c r="H220" s="102" t="s">
        <v>479</v>
      </c>
      <c r="I220" s="5"/>
    </row>
    <row r="221" spans="1:10" s="2" customFormat="1" ht="96.75" customHeight="1" outlineLevel="1">
      <c r="A221" s="309" t="s">
        <v>292</v>
      </c>
      <c r="B221" s="166" t="s">
        <v>1006</v>
      </c>
      <c r="C221" s="166" t="s">
        <v>1008</v>
      </c>
      <c r="D221" s="167" t="s">
        <v>44</v>
      </c>
      <c r="E221" s="136">
        <f>G8*260.29</f>
        <v>260.29000000000002</v>
      </c>
      <c r="F221" s="76"/>
      <c r="G221" s="83">
        <f>G8*8.91</f>
        <v>8.91</v>
      </c>
      <c r="H221" s="102" t="s">
        <v>479</v>
      </c>
      <c r="I221" s="5"/>
    </row>
    <row r="222" spans="1:10" s="2" customFormat="1" ht="50.25" customHeight="1" outlineLevel="1">
      <c r="A222" s="309" t="s">
        <v>294</v>
      </c>
      <c r="B222" s="133" t="s">
        <v>206</v>
      </c>
      <c r="C222" s="133" t="s">
        <v>1009</v>
      </c>
      <c r="D222" s="216" t="s">
        <v>1</v>
      </c>
      <c r="E222" s="209">
        <f>G8*641.16</f>
        <v>641.16</v>
      </c>
      <c r="F222" s="76"/>
      <c r="G222" s="83">
        <v>0</v>
      </c>
      <c r="H222" s="102" t="s">
        <v>479</v>
      </c>
      <c r="I222" s="5"/>
    </row>
    <row r="223" spans="1:10" s="2" customFormat="1" ht="102" customHeight="1" outlineLevel="1">
      <c r="A223" s="309" t="s">
        <v>296</v>
      </c>
      <c r="B223" s="198" t="s">
        <v>1010</v>
      </c>
      <c r="C223" s="166" t="s">
        <v>264</v>
      </c>
      <c r="D223" s="217" t="s">
        <v>43</v>
      </c>
      <c r="E223" s="136">
        <f>G8*358.87</f>
        <v>358.87</v>
      </c>
      <c r="F223" s="76"/>
      <c r="G223" s="83">
        <f>G8*22.28</f>
        <v>22.28</v>
      </c>
      <c r="H223" s="152" t="s">
        <v>394</v>
      </c>
      <c r="I223" s="5"/>
    </row>
    <row r="224" spans="1:10" s="2" customFormat="1" ht="31.5" customHeight="1" outlineLevel="1">
      <c r="A224" s="384" t="s">
        <v>500</v>
      </c>
      <c r="B224" s="384"/>
      <c r="C224" s="384"/>
      <c r="D224" s="384"/>
      <c r="E224" s="384"/>
      <c r="F224" s="384"/>
      <c r="G224" s="384"/>
      <c r="H224" s="384"/>
      <c r="I224" s="5"/>
    </row>
    <row r="225" spans="1:9" s="2" customFormat="1" ht="106.5" customHeight="1" outlineLevel="1">
      <c r="A225" s="218" t="s">
        <v>298</v>
      </c>
      <c r="B225" s="107" t="s">
        <v>263</v>
      </c>
      <c r="C225" s="120" t="s">
        <v>1018</v>
      </c>
      <c r="D225" s="219"/>
      <c r="E225" s="220"/>
      <c r="F225" s="221"/>
      <c r="G225" s="221"/>
      <c r="H225" s="222"/>
      <c r="I225" s="5"/>
    </row>
    <row r="226" spans="1:9" s="2" customFormat="1" ht="18.75" customHeight="1" outlineLevel="1">
      <c r="A226" s="72" t="s">
        <v>530</v>
      </c>
      <c r="B226" s="138" t="s">
        <v>1019</v>
      </c>
      <c r="C226" s="138"/>
      <c r="D226" s="130" t="s">
        <v>36</v>
      </c>
      <c r="E226" s="75">
        <f>G8*10250</f>
        <v>10250</v>
      </c>
      <c r="F226" s="75"/>
      <c r="G226" s="83">
        <f>G8*1568.75</f>
        <v>1568.75</v>
      </c>
      <c r="H226" s="223" t="s">
        <v>66</v>
      </c>
      <c r="I226" s="5"/>
    </row>
    <row r="227" spans="1:9" s="2" customFormat="1" ht="18.75" customHeight="1" outlineLevel="1">
      <c r="A227" s="72" t="s">
        <v>531</v>
      </c>
      <c r="B227" s="138" t="s">
        <v>1020</v>
      </c>
      <c r="C227" s="138"/>
      <c r="D227" s="130" t="s">
        <v>36</v>
      </c>
      <c r="E227" s="75">
        <f>G8*11297.96</f>
        <v>11297.96</v>
      </c>
      <c r="F227" s="75"/>
      <c r="G227" s="83">
        <f>G8*1568.75</f>
        <v>1568.75</v>
      </c>
      <c r="H227" s="223" t="s">
        <v>66</v>
      </c>
      <c r="I227" s="5"/>
    </row>
    <row r="228" spans="1:9" s="2" customFormat="1" ht="18.75" customHeight="1" outlineLevel="1">
      <c r="A228" s="72" t="s">
        <v>532</v>
      </c>
      <c r="B228" s="138" t="s">
        <v>1021</v>
      </c>
      <c r="C228" s="138"/>
      <c r="D228" s="130" t="s">
        <v>36</v>
      </c>
      <c r="E228" s="75">
        <f>G8*26697.33</f>
        <v>26697.33</v>
      </c>
      <c r="F228" s="75"/>
      <c r="G228" s="83">
        <f>G8*1568.75</f>
        <v>1568.75</v>
      </c>
      <c r="H228" s="223" t="s">
        <v>66</v>
      </c>
      <c r="I228" s="5"/>
    </row>
    <row r="229" spans="1:9" s="2" customFormat="1" ht="18.75" customHeight="1" outlineLevel="1">
      <c r="A229" s="72" t="s">
        <v>533</v>
      </c>
      <c r="B229" s="138" t="s">
        <v>1022</v>
      </c>
      <c r="C229" s="138"/>
      <c r="D229" s="130" t="s">
        <v>36</v>
      </c>
      <c r="E229" s="75">
        <f>G8*33582.39</f>
        <v>33582.39</v>
      </c>
      <c r="F229" s="75"/>
      <c r="G229" s="83">
        <f>G8*1568.75</f>
        <v>1568.75</v>
      </c>
      <c r="H229" s="223" t="s">
        <v>66</v>
      </c>
      <c r="I229" s="5"/>
    </row>
    <row r="230" spans="1:9" s="2" customFormat="1" ht="63.75" outlineLevel="1">
      <c r="A230" s="99" t="s">
        <v>299</v>
      </c>
      <c r="B230" s="133" t="s">
        <v>1023</v>
      </c>
      <c r="C230" s="133" t="s">
        <v>1024</v>
      </c>
      <c r="D230" s="135" t="s">
        <v>36</v>
      </c>
      <c r="E230" s="136">
        <f>G8*4084.96</f>
        <v>4084.96</v>
      </c>
      <c r="F230" s="136"/>
      <c r="G230" s="76">
        <f>G8*449.35</f>
        <v>449.35</v>
      </c>
      <c r="H230" s="224" t="s">
        <v>480</v>
      </c>
      <c r="I230" s="5"/>
    </row>
    <row r="231" spans="1:9" s="2" customFormat="1" ht="46.5" customHeight="1" outlineLevel="1">
      <c r="A231" s="99" t="s">
        <v>300</v>
      </c>
      <c r="B231" s="133" t="s">
        <v>235</v>
      </c>
      <c r="C231" s="133" t="s">
        <v>1025</v>
      </c>
      <c r="D231" s="214" t="s">
        <v>1</v>
      </c>
      <c r="E231" s="209">
        <f>G8*538.99</f>
        <v>538.99</v>
      </c>
      <c r="F231" s="136"/>
      <c r="G231" s="83">
        <v>0</v>
      </c>
      <c r="H231" s="224" t="s">
        <v>480</v>
      </c>
      <c r="I231" s="5"/>
    </row>
    <row r="232" spans="1:9" s="2" customFormat="1" ht="93.75" customHeight="1" outlineLevel="1">
      <c r="A232" s="99" t="s">
        <v>301</v>
      </c>
      <c r="B232" s="133" t="s">
        <v>1026</v>
      </c>
      <c r="C232" s="138" t="s">
        <v>246</v>
      </c>
      <c r="D232" s="130" t="s">
        <v>52</v>
      </c>
      <c r="E232" s="118">
        <f>G8*6750</f>
        <v>6750</v>
      </c>
      <c r="F232" s="136"/>
      <c r="G232" s="119">
        <f>G8*742.5</f>
        <v>742.5</v>
      </c>
      <c r="H232" s="224" t="s">
        <v>715</v>
      </c>
      <c r="I232" s="5"/>
    </row>
    <row r="233" spans="1:9" s="2" customFormat="1" ht="115.5" customHeight="1" outlineLevel="1">
      <c r="A233" s="99" t="s">
        <v>302</v>
      </c>
      <c r="B233" s="133" t="s">
        <v>1027</v>
      </c>
      <c r="C233" s="133" t="s">
        <v>1028</v>
      </c>
      <c r="D233" s="135" t="s">
        <v>247</v>
      </c>
      <c r="E233" s="136">
        <f>G8*1411.17</f>
        <v>1411.17</v>
      </c>
      <c r="F233" s="136"/>
      <c r="G233" s="76">
        <f>G8*155.23</f>
        <v>155.22999999999999</v>
      </c>
      <c r="H233" s="224" t="s">
        <v>715</v>
      </c>
      <c r="I233" s="5"/>
    </row>
    <row r="234" spans="1:9" s="2" customFormat="1" ht="63.75" outlineLevel="1">
      <c r="A234" s="99" t="s">
        <v>303</v>
      </c>
      <c r="B234" s="138" t="s">
        <v>539</v>
      </c>
      <c r="C234" s="138" t="s">
        <v>1029</v>
      </c>
      <c r="D234" s="130" t="s">
        <v>247</v>
      </c>
      <c r="E234" s="75">
        <f>G8*546.35</f>
        <v>546.35</v>
      </c>
      <c r="F234" s="136"/>
      <c r="G234" s="83">
        <v>0</v>
      </c>
      <c r="H234" s="224" t="s">
        <v>540</v>
      </c>
      <c r="I234" s="5"/>
    </row>
    <row r="235" spans="1:9" s="2" customFormat="1" ht="47.25" outlineLevel="1">
      <c r="A235" s="99" t="s">
        <v>306</v>
      </c>
      <c r="B235" s="133" t="s">
        <v>234</v>
      </c>
      <c r="C235" s="138" t="s">
        <v>833</v>
      </c>
      <c r="D235" s="214" t="s">
        <v>1</v>
      </c>
      <c r="E235" s="209">
        <f>G8*703.15</f>
        <v>703.15</v>
      </c>
      <c r="F235" s="136"/>
      <c r="G235" s="83">
        <v>0</v>
      </c>
      <c r="H235" s="224" t="s">
        <v>480</v>
      </c>
      <c r="I235" s="5"/>
    </row>
    <row r="236" spans="1:9" s="2" customFormat="1" ht="51" outlineLevel="1">
      <c r="A236" s="211" t="s">
        <v>307</v>
      </c>
      <c r="B236" s="140" t="s">
        <v>1306</v>
      </c>
      <c r="C236" s="140" t="s">
        <v>70</v>
      </c>
      <c r="D236" s="131"/>
      <c r="E236" s="153"/>
      <c r="F236" s="153"/>
      <c r="G236" s="154"/>
      <c r="H236" s="225"/>
      <c r="I236" s="5"/>
    </row>
    <row r="237" spans="1:9" s="2" customFormat="1" ht="18.75" outlineLevel="1">
      <c r="A237" s="72" t="s">
        <v>534</v>
      </c>
      <c r="B237" s="133" t="s">
        <v>1030</v>
      </c>
      <c r="C237" s="133"/>
      <c r="D237" s="135" t="s">
        <v>36</v>
      </c>
      <c r="E237" s="136">
        <f>G8*79555.5</f>
        <v>79555.5</v>
      </c>
      <c r="F237" s="136"/>
      <c r="G237" s="76">
        <f>G8*15115.55</f>
        <v>15115.55</v>
      </c>
      <c r="H237" s="306" t="s">
        <v>66</v>
      </c>
      <c r="I237" s="5"/>
    </row>
    <row r="238" spans="1:9" s="2" customFormat="1" ht="18.75" outlineLevel="1">
      <c r="A238" s="72" t="s">
        <v>535</v>
      </c>
      <c r="B238" s="133" t="s">
        <v>1031</v>
      </c>
      <c r="C238" s="133"/>
      <c r="D238" s="135" t="s">
        <v>36</v>
      </c>
      <c r="E238" s="136">
        <f>G8*190444.5</f>
        <v>190444.5</v>
      </c>
      <c r="F238" s="136"/>
      <c r="G238" s="76">
        <f>G8*30471.12</f>
        <v>30471.119999999999</v>
      </c>
      <c r="H238" s="306" t="s">
        <v>66</v>
      </c>
      <c r="I238" s="5"/>
    </row>
    <row r="239" spans="1:9" s="2" customFormat="1" ht="18.75" outlineLevel="1">
      <c r="A239" s="72" t="s">
        <v>536</v>
      </c>
      <c r="B239" s="133" t="s">
        <v>1032</v>
      </c>
      <c r="C239" s="133"/>
      <c r="D239" s="135" t="s">
        <v>36</v>
      </c>
      <c r="E239" s="136">
        <f>G8*332741.25</f>
        <v>332741.25</v>
      </c>
      <c r="F239" s="136"/>
      <c r="G239" s="76">
        <f>G8*49911.19</f>
        <v>49911.19</v>
      </c>
      <c r="H239" s="306" t="s">
        <v>66</v>
      </c>
      <c r="I239" s="5"/>
    </row>
    <row r="240" spans="1:9" s="2" customFormat="1" ht="47.25" outlineLevel="1">
      <c r="A240" s="226" t="s">
        <v>308</v>
      </c>
      <c r="B240" s="133" t="s">
        <v>1033</v>
      </c>
      <c r="C240" s="133" t="s">
        <v>1034</v>
      </c>
      <c r="D240" s="135" t="s">
        <v>36</v>
      </c>
      <c r="E240" s="136">
        <f>G8*897.39</f>
        <v>897.39</v>
      </c>
      <c r="F240" s="136"/>
      <c r="G240" s="76">
        <f>G8*98.71</f>
        <v>98.71</v>
      </c>
      <c r="H240" s="227" t="s">
        <v>793</v>
      </c>
      <c r="I240" s="5"/>
    </row>
    <row r="241" spans="1:9" s="2" customFormat="1" ht="47.25" outlineLevel="1">
      <c r="A241" s="226" t="s">
        <v>309</v>
      </c>
      <c r="B241" s="133" t="s">
        <v>1035</v>
      </c>
      <c r="C241" s="133" t="s">
        <v>1036</v>
      </c>
      <c r="D241" s="135" t="s">
        <v>36</v>
      </c>
      <c r="E241" s="136">
        <f>G8*1752.77</f>
        <v>1752.77</v>
      </c>
      <c r="F241" s="136"/>
      <c r="G241" s="76">
        <f>G8*192.81</f>
        <v>192.81</v>
      </c>
      <c r="H241" s="227" t="s">
        <v>793</v>
      </c>
      <c r="I241" s="5"/>
    </row>
    <row r="242" spans="1:9" s="2" customFormat="1" ht="25.5" outlineLevel="1">
      <c r="A242" s="226" t="s">
        <v>310</v>
      </c>
      <c r="B242" s="310" t="s">
        <v>1037</v>
      </c>
      <c r="C242" s="310" t="s">
        <v>484</v>
      </c>
      <c r="D242" s="94" t="s">
        <v>485</v>
      </c>
      <c r="E242" s="136">
        <f>G8*2157.71</f>
        <v>2157.71</v>
      </c>
      <c r="F242" s="136"/>
      <c r="G242" s="76">
        <f>G8*237.35</f>
        <v>237.35</v>
      </c>
      <c r="H242" s="227"/>
      <c r="I242" s="5"/>
    </row>
    <row r="243" spans="1:9" s="2" customFormat="1" ht="25.5" outlineLevel="1">
      <c r="A243" s="226" t="s">
        <v>311</v>
      </c>
      <c r="B243" s="310" t="s">
        <v>1038</v>
      </c>
      <c r="C243" s="310" t="s">
        <v>484</v>
      </c>
      <c r="D243" s="94" t="s">
        <v>485</v>
      </c>
      <c r="E243" s="136">
        <f>G8*3295.11</f>
        <v>3295.11</v>
      </c>
      <c r="F243" s="136"/>
      <c r="G243" s="76">
        <f>G8*362.46</f>
        <v>362.46</v>
      </c>
      <c r="H243" s="227"/>
      <c r="I243" s="5"/>
    </row>
    <row r="244" spans="1:9" s="2" customFormat="1" ht="25.5" outlineLevel="1">
      <c r="A244" s="228" t="s">
        <v>312</v>
      </c>
      <c r="B244" s="310" t="s">
        <v>486</v>
      </c>
      <c r="C244" s="310" t="s">
        <v>1039</v>
      </c>
      <c r="D244" s="94" t="s">
        <v>516</v>
      </c>
      <c r="E244" s="136">
        <f>G8*237.14</f>
        <v>237.14</v>
      </c>
      <c r="F244" s="136"/>
      <c r="G244" s="76">
        <f>G8*21.84</f>
        <v>21.84</v>
      </c>
      <c r="H244" s="229"/>
      <c r="I244" s="22"/>
    </row>
    <row r="245" spans="1:9" s="2" customFormat="1" ht="27.75" customHeight="1" outlineLevel="1">
      <c r="A245" s="384" t="s">
        <v>391</v>
      </c>
      <c r="B245" s="384"/>
      <c r="C245" s="384"/>
      <c r="D245" s="384"/>
      <c r="E245" s="384"/>
      <c r="F245" s="384"/>
      <c r="G245" s="384"/>
      <c r="H245" s="384"/>
      <c r="I245" s="5"/>
    </row>
    <row r="246" spans="1:9" s="2" customFormat="1" ht="89.25" outlineLevel="1">
      <c r="A246" s="132" t="s">
        <v>315</v>
      </c>
      <c r="B246" s="310" t="s">
        <v>1041</v>
      </c>
      <c r="C246" s="230" t="s">
        <v>1042</v>
      </c>
      <c r="D246" s="203" t="s">
        <v>1</v>
      </c>
      <c r="E246" s="370">
        <f>G8*695.94</f>
        <v>695.94</v>
      </c>
      <c r="F246" s="136"/>
      <c r="G246" s="373">
        <f>G8*69.6</f>
        <v>69.599999999999994</v>
      </c>
      <c r="H246" s="231" t="s">
        <v>388</v>
      </c>
      <c r="I246" s="5"/>
    </row>
    <row r="247" spans="1:9" s="2" customFormat="1" ht="98.25" customHeight="1" outlineLevel="1">
      <c r="A247" s="132" t="s">
        <v>316</v>
      </c>
      <c r="B247" s="310" t="s">
        <v>1045</v>
      </c>
      <c r="C247" s="230" t="s">
        <v>1043</v>
      </c>
      <c r="D247" s="203" t="s">
        <v>1</v>
      </c>
      <c r="E247" s="370">
        <f>G8*1257.94</f>
        <v>1257.94</v>
      </c>
      <c r="F247" s="136"/>
      <c r="G247" s="373">
        <f>G8*125.79</f>
        <v>125.79</v>
      </c>
      <c r="H247" s="231" t="s">
        <v>360</v>
      </c>
      <c r="I247" s="5"/>
    </row>
    <row r="248" spans="1:9" s="2" customFormat="1" ht="115.5" customHeight="1" outlineLevel="1">
      <c r="A248" s="132" t="s">
        <v>317</v>
      </c>
      <c r="B248" s="310" t="s">
        <v>1046</v>
      </c>
      <c r="C248" s="230" t="s">
        <v>1044</v>
      </c>
      <c r="D248" s="203" t="s">
        <v>1</v>
      </c>
      <c r="E248" s="370">
        <f>G8*736.62</f>
        <v>736.62</v>
      </c>
      <c r="F248" s="136"/>
      <c r="G248" s="373">
        <f>G8*73.66</f>
        <v>73.66</v>
      </c>
      <c r="H248" s="231" t="s">
        <v>361</v>
      </c>
      <c r="I248" s="5"/>
    </row>
    <row r="249" spans="1:9" s="2" customFormat="1" ht="100.5" customHeight="1" outlineLevel="1">
      <c r="A249" s="132" t="s">
        <v>318</v>
      </c>
      <c r="B249" s="310" t="s">
        <v>1315</v>
      </c>
      <c r="C249" s="230" t="s">
        <v>1047</v>
      </c>
      <c r="D249" s="203" t="s">
        <v>1</v>
      </c>
      <c r="E249" s="370">
        <f>G8*1298.62</f>
        <v>1298.6199999999999</v>
      </c>
      <c r="F249" s="136"/>
      <c r="G249" s="373">
        <f>G8*129.87</f>
        <v>129.87</v>
      </c>
      <c r="H249" s="231" t="s">
        <v>361</v>
      </c>
      <c r="I249" s="5"/>
    </row>
    <row r="250" spans="1:9" s="2" customFormat="1" ht="129.75" customHeight="1" outlineLevel="1">
      <c r="A250" s="132" t="s">
        <v>321</v>
      </c>
      <c r="B250" s="310" t="s">
        <v>1316</v>
      </c>
      <c r="C250" s="230" t="s">
        <v>1048</v>
      </c>
      <c r="D250" s="203" t="s">
        <v>1</v>
      </c>
      <c r="E250" s="370">
        <f>G8*980.9</f>
        <v>980.9</v>
      </c>
      <c r="F250" s="136"/>
      <c r="G250" s="373">
        <f>G8*98.09</f>
        <v>98.09</v>
      </c>
      <c r="H250" s="231" t="s">
        <v>360</v>
      </c>
      <c r="I250" s="5"/>
    </row>
    <row r="251" spans="1:9" s="2" customFormat="1" ht="107.25" customHeight="1" outlineLevel="1">
      <c r="A251" s="132" t="s">
        <v>322</v>
      </c>
      <c r="B251" s="310" t="s">
        <v>1317</v>
      </c>
      <c r="C251" s="230" t="s">
        <v>1049</v>
      </c>
      <c r="D251" s="203" t="s">
        <v>1</v>
      </c>
      <c r="E251" s="370">
        <f>G8*1542.9</f>
        <v>1542.9</v>
      </c>
      <c r="F251" s="136"/>
      <c r="G251" s="373">
        <f>G8*154.3</f>
        <v>154.30000000000001</v>
      </c>
      <c r="H251" s="231" t="s">
        <v>360</v>
      </c>
      <c r="I251" s="5"/>
    </row>
    <row r="252" spans="1:9" s="2" customFormat="1" ht="152.25" customHeight="1" outlineLevel="1">
      <c r="A252" s="132" t="s">
        <v>323</v>
      </c>
      <c r="B252" s="310" t="s">
        <v>1065</v>
      </c>
      <c r="C252" s="230" t="s">
        <v>1050</v>
      </c>
      <c r="D252" s="130" t="s">
        <v>1</v>
      </c>
      <c r="E252" s="370">
        <f>G8*496.96</f>
        <v>496.96</v>
      </c>
      <c r="F252" s="136"/>
      <c r="G252" s="373">
        <f>G8*49.7</f>
        <v>49.7</v>
      </c>
      <c r="H252" s="231" t="s">
        <v>763</v>
      </c>
      <c r="I252" s="5"/>
    </row>
    <row r="253" spans="1:9" s="2" customFormat="1" ht="129.75" customHeight="1" outlineLevel="1">
      <c r="A253" s="132" t="s">
        <v>325</v>
      </c>
      <c r="B253" s="310" t="s">
        <v>1066</v>
      </c>
      <c r="C253" s="230" t="s">
        <v>1051</v>
      </c>
      <c r="D253" s="130" t="s">
        <v>1</v>
      </c>
      <c r="E253" s="370">
        <f>G8*892.73</f>
        <v>892.73</v>
      </c>
      <c r="F253" s="136"/>
      <c r="G253" s="373">
        <f>G8*89.27</f>
        <v>89.27</v>
      </c>
      <c r="H253" s="231" t="s">
        <v>763</v>
      </c>
      <c r="I253" s="5"/>
    </row>
    <row r="254" spans="1:9" s="2" customFormat="1" ht="69" customHeight="1" outlineLevel="1">
      <c r="A254" s="132" t="s">
        <v>327</v>
      </c>
      <c r="B254" s="310" t="s">
        <v>1052</v>
      </c>
      <c r="C254" s="232" t="s">
        <v>393</v>
      </c>
      <c r="D254" s="130" t="s">
        <v>54</v>
      </c>
      <c r="E254" s="370">
        <f>G8*72.2</f>
        <v>72.2</v>
      </c>
      <c r="F254" s="136"/>
      <c r="G254" s="373">
        <f>G8*7.22</f>
        <v>7.22</v>
      </c>
      <c r="H254" s="233" t="s">
        <v>1040</v>
      </c>
      <c r="I254" s="5"/>
    </row>
    <row r="255" spans="1:9" s="2" customFormat="1" ht="91.5" customHeight="1" outlineLevel="1">
      <c r="A255" s="132" t="s">
        <v>328</v>
      </c>
      <c r="B255" s="310" t="s">
        <v>1053</v>
      </c>
      <c r="C255" s="310" t="s">
        <v>1011</v>
      </c>
      <c r="D255" s="130" t="s">
        <v>54</v>
      </c>
      <c r="E255" s="370">
        <f>G8*166.49</f>
        <v>166.49</v>
      </c>
      <c r="F255" s="136"/>
      <c r="G255" s="373">
        <f>G8*16.65</f>
        <v>16.649999999999999</v>
      </c>
      <c r="H255" s="233" t="s">
        <v>1040</v>
      </c>
      <c r="I255" s="5"/>
    </row>
    <row r="256" spans="1:9" s="2" customFormat="1" ht="91.5" customHeight="1" outlineLevel="1">
      <c r="A256" s="132" t="s">
        <v>329</v>
      </c>
      <c r="B256" s="101" t="s">
        <v>1054</v>
      </c>
      <c r="C256" s="165" t="s">
        <v>1012</v>
      </c>
      <c r="D256" s="130" t="s">
        <v>54</v>
      </c>
      <c r="E256" s="370">
        <f>G8*50.59</f>
        <v>50.59</v>
      </c>
      <c r="F256" s="136"/>
      <c r="G256" s="373">
        <f>G8*5.06</f>
        <v>5.0599999999999996</v>
      </c>
      <c r="H256" s="233" t="s">
        <v>1040</v>
      </c>
      <c r="I256" s="5"/>
    </row>
    <row r="257" spans="1:9" s="2" customFormat="1" ht="91.5" customHeight="1" outlineLevel="1">
      <c r="A257" s="132" t="s">
        <v>330</v>
      </c>
      <c r="B257" s="101" t="s">
        <v>1055</v>
      </c>
      <c r="C257" s="165" t="s">
        <v>1013</v>
      </c>
      <c r="D257" s="130" t="s">
        <v>54</v>
      </c>
      <c r="E257" s="370">
        <f>G8*118.99</f>
        <v>118.99</v>
      </c>
      <c r="F257" s="136"/>
      <c r="G257" s="373">
        <f>G8*11.9</f>
        <v>11.9</v>
      </c>
      <c r="H257" s="233" t="s">
        <v>1040</v>
      </c>
      <c r="I257" s="5"/>
    </row>
    <row r="258" spans="1:9" s="2" customFormat="1" ht="91.5" customHeight="1" outlineLevel="1">
      <c r="A258" s="132" t="s">
        <v>332</v>
      </c>
      <c r="B258" s="101" t="s">
        <v>1056</v>
      </c>
      <c r="C258" s="165" t="s">
        <v>1014</v>
      </c>
      <c r="D258" s="130" t="s">
        <v>54</v>
      </c>
      <c r="E258" s="370">
        <f>G8*106.88</f>
        <v>106.88</v>
      </c>
      <c r="F258" s="136"/>
      <c r="G258" s="373">
        <f>G8*10.69</f>
        <v>10.69</v>
      </c>
      <c r="H258" s="233" t="s">
        <v>1040</v>
      </c>
      <c r="I258" s="5"/>
    </row>
    <row r="259" spans="1:9" s="2" customFormat="1" ht="91.5" customHeight="1" outlineLevel="1">
      <c r="A259" s="132" t="s">
        <v>333</v>
      </c>
      <c r="B259" s="101" t="s">
        <v>1057</v>
      </c>
      <c r="C259" s="165" t="s">
        <v>1015</v>
      </c>
      <c r="D259" s="130" t="s">
        <v>54</v>
      </c>
      <c r="E259" s="370">
        <f>G8*166.49</f>
        <v>166.49</v>
      </c>
      <c r="F259" s="136"/>
      <c r="G259" s="373">
        <f>G8*16.65</f>
        <v>16.649999999999999</v>
      </c>
      <c r="H259" s="233" t="s">
        <v>1040</v>
      </c>
      <c r="I259" s="5"/>
    </row>
    <row r="260" spans="1:9" s="2" customFormat="1" ht="91.5" customHeight="1" outlineLevel="1">
      <c r="A260" s="132" t="s">
        <v>334</v>
      </c>
      <c r="B260" s="101" t="s">
        <v>1058</v>
      </c>
      <c r="C260" s="165" t="s">
        <v>1016</v>
      </c>
      <c r="D260" s="130" t="s">
        <v>54</v>
      </c>
      <c r="E260" s="370">
        <f>G8*86.69</f>
        <v>86.69</v>
      </c>
      <c r="F260" s="136"/>
      <c r="G260" s="373">
        <f>G8*8.67</f>
        <v>8.67</v>
      </c>
      <c r="H260" s="233" t="s">
        <v>1040</v>
      </c>
      <c r="I260" s="5"/>
    </row>
    <row r="261" spans="1:9" s="2" customFormat="1" ht="91.5" customHeight="1" outlineLevel="1">
      <c r="A261" s="132" t="s">
        <v>335</v>
      </c>
      <c r="B261" s="310" t="s">
        <v>1059</v>
      </c>
      <c r="C261" s="165" t="s">
        <v>1017</v>
      </c>
      <c r="D261" s="130" t="s">
        <v>54</v>
      </c>
      <c r="E261" s="370">
        <f>G8*155.09</f>
        <v>155.09</v>
      </c>
      <c r="F261" s="136"/>
      <c r="G261" s="373">
        <f>G8*15.51</f>
        <v>15.51</v>
      </c>
      <c r="H261" s="233" t="s">
        <v>1040</v>
      </c>
      <c r="I261" s="5"/>
    </row>
    <row r="262" spans="1:9" s="2" customFormat="1" ht="100.5" customHeight="1" outlineLevel="1">
      <c r="A262" s="132" t="s">
        <v>337</v>
      </c>
      <c r="B262" s="101" t="s">
        <v>390</v>
      </c>
      <c r="C262" s="165" t="s">
        <v>1060</v>
      </c>
      <c r="D262" s="130" t="s">
        <v>54</v>
      </c>
      <c r="E262" s="370">
        <f>G8*164.81</f>
        <v>164.81</v>
      </c>
      <c r="F262" s="136"/>
      <c r="G262" s="373">
        <f>G8*16.48</f>
        <v>16.48</v>
      </c>
      <c r="H262" s="233" t="s">
        <v>1040</v>
      </c>
      <c r="I262" s="5"/>
    </row>
    <row r="263" spans="1:9" s="2" customFormat="1" ht="82.5" customHeight="1" outlineLevel="1">
      <c r="A263" s="132" t="s">
        <v>340</v>
      </c>
      <c r="B263" s="101" t="s">
        <v>304</v>
      </c>
      <c r="C263" s="165" t="s">
        <v>305</v>
      </c>
      <c r="D263" s="130" t="s">
        <v>54</v>
      </c>
      <c r="E263" s="370">
        <f>G8*121.11</f>
        <v>121.11</v>
      </c>
      <c r="F263" s="136"/>
      <c r="G263" s="373">
        <f>G8*12.11</f>
        <v>12.11</v>
      </c>
      <c r="H263" s="233" t="s">
        <v>1040</v>
      </c>
      <c r="I263" s="5"/>
    </row>
    <row r="264" spans="1:9" s="2" customFormat="1" ht="94.5" customHeight="1" outlineLevel="1">
      <c r="A264" s="132" t="s">
        <v>343</v>
      </c>
      <c r="B264" s="310" t="s">
        <v>1061</v>
      </c>
      <c r="C264" s="310" t="s">
        <v>401</v>
      </c>
      <c r="D264" s="208" t="s">
        <v>54</v>
      </c>
      <c r="E264" s="75">
        <f>G8*104.18</f>
        <v>104.18</v>
      </c>
      <c r="F264" s="136"/>
      <c r="G264" s="83">
        <f>G8*10.42</f>
        <v>10.42</v>
      </c>
      <c r="H264" s="233" t="s">
        <v>1040</v>
      </c>
      <c r="I264" s="5"/>
    </row>
    <row r="265" spans="1:9" s="2" customFormat="1" ht="82.5" customHeight="1" outlineLevel="1">
      <c r="A265" s="132" t="s">
        <v>345</v>
      </c>
      <c r="B265" s="310" t="s">
        <v>1062</v>
      </c>
      <c r="C265" s="232" t="s">
        <v>402</v>
      </c>
      <c r="D265" s="234" t="s">
        <v>54</v>
      </c>
      <c r="E265" s="75">
        <f>G8*122.85</f>
        <v>122.85</v>
      </c>
      <c r="F265" s="136"/>
      <c r="G265" s="83">
        <f>G8*12.29</f>
        <v>12.29</v>
      </c>
      <c r="H265" s="233" t="s">
        <v>1040</v>
      </c>
      <c r="I265" s="5"/>
    </row>
    <row r="266" spans="1:9" s="2" customFormat="1" ht="48.75" customHeight="1" outlineLevel="1">
      <c r="A266" s="132" t="s">
        <v>347</v>
      </c>
      <c r="B266" s="101" t="s">
        <v>1063</v>
      </c>
      <c r="C266" s="235" t="s">
        <v>324</v>
      </c>
      <c r="D266" s="234" t="s">
        <v>54</v>
      </c>
      <c r="E266" s="75">
        <f>G8*116.64</f>
        <v>116.64</v>
      </c>
      <c r="F266" s="136"/>
      <c r="G266" s="83">
        <f>G8*12.83</f>
        <v>12.83</v>
      </c>
      <c r="H266" s="233" t="s">
        <v>66</v>
      </c>
      <c r="I266" s="5"/>
    </row>
    <row r="267" spans="1:9" s="2" customFormat="1" ht="48.75" customHeight="1" outlineLevel="1">
      <c r="A267" s="132" t="s">
        <v>350</v>
      </c>
      <c r="B267" s="101" t="s">
        <v>1064</v>
      </c>
      <c r="C267" s="235" t="s">
        <v>326</v>
      </c>
      <c r="D267" s="234" t="s">
        <v>54</v>
      </c>
      <c r="E267" s="75">
        <f>G8*144.61</f>
        <v>144.61000000000001</v>
      </c>
      <c r="F267" s="136"/>
      <c r="G267" s="83">
        <f>G8*15.9</f>
        <v>15.9</v>
      </c>
      <c r="H267" s="233" t="s">
        <v>66</v>
      </c>
      <c r="I267" s="5"/>
    </row>
    <row r="268" spans="1:9" s="2" customFormat="1" ht="25.5" customHeight="1" outlineLevel="1">
      <c r="A268" s="384" t="s">
        <v>389</v>
      </c>
      <c r="B268" s="384"/>
      <c r="C268" s="384"/>
      <c r="D268" s="384"/>
      <c r="E268" s="384"/>
      <c r="F268" s="384"/>
      <c r="G268" s="384"/>
      <c r="H268" s="384"/>
      <c r="I268" s="5"/>
    </row>
    <row r="269" spans="1:9" s="2" customFormat="1" ht="30" customHeight="1" outlineLevel="1">
      <c r="A269" s="236" t="s">
        <v>352</v>
      </c>
      <c r="B269" s="237" t="s">
        <v>704</v>
      </c>
      <c r="C269" s="238"/>
      <c r="D269" s="239"/>
      <c r="E269" s="239"/>
      <c r="F269" s="239"/>
      <c r="G269" s="239"/>
      <c r="H269" s="239"/>
      <c r="I269" s="5"/>
    </row>
    <row r="270" spans="1:9" s="2" customFormat="1" ht="66" customHeight="1" outlineLevel="1">
      <c r="A270" s="240" t="s">
        <v>815</v>
      </c>
      <c r="B270" s="133" t="s">
        <v>699</v>
      </c>
      <c r="C270" s="133" t="s">
        <v>1067</v>
      </c>
      <c r="D270" s="105" t="s">
        <v>36</v>
      </c>
      <c r="E270" s="370">
        <f>G8*1388.47</f>
        <v>1388.47</v>
      </c>
      <c r="F270" s="241"/>
      <c r="G270" s="373">
        <f>G8*138.85</f>
        <v>138.85</v>
      </c>
      <c r="H270" s="242"/>
      <c r="I270" s="5"/>
    </row>
    <row r="271" spans="1:9" s="2" customFormat="1" ht="80.25" customHeight="1" outlineLevel="1">
      <c r="A271" s="240" t="s">
        <v>816</v>
      </c>
      <c r="B271" s="133" t="s">
        <v>756</v>
      </c>
      <c r="C271" s="133" t="s">
        <v>1068</v>
      </c>
      <c r="D271" s="105" t="s">
        <v>36</v>
      </c>
      <c r="E271" s="370">
        <f>G8*1587.72</f>
        <v>1587.72</v>
      </c>
      <c r="F271" s="241"/>
      <c r="G271" s="373">
        <f>G8*158.8</f>
        <v>158.80000000000001</v>
      </c>
      <c r="H271" s="242"/>
      <c r="I271" s="25"/>
    </row>
    <row r="272" spans="1:9" s="2" customFormat="1" ht="61.5" customHeight="1" outlineLevel="1">
      <c r="A272" s="240" t="s">
        <v>817</v>
      </c>
      <c r="B272" s="133" t="s">
        <v>700</v>
      </c>
      <c r="C272" s="133" t="s">
        <v>1071</v>
      </c>
      <c r="D272" s="105" t="s">
        <v>36</v>
      </c>
      <c r="E272" s="370">
        <f>G8*240.07</f>
        <v>240.07</v>
      </c>
      <c r="F272" s="241"/>
      <c r="G272" s="373">
        <f>G8*24.01</f>
        <v>24.01</v>
      </c>
      <c r="H272" s="242"/>
      <c r="I272" s="5"/>
    </row>
    <row r="273" spans="1:9" s="2" customFormat="1" ht="48.75" customHeight="1" outlineLevel="1">
      <c r="A273" s="240" t="s">
        <v>818</v>
      </c>
      <c r="B273" s="133" t="s">
        <v>701</v>
      </c>
      <c r="C273" s="133" t="s">
        <v>1072</v>
      </c>
      <c r="D273" s="105" t="s">
        <v>36</v>
      </c>
      <c r="E273" s="370">
        <f>G8*337.5</f>
        <v>337.5</v>
      </c>
      <c r="F273" s="241"/>
      <c r="G273" s="373">
        <f>G8*33.75</f>
        <v>33.75</v>
      </c>
      <c r="H273" s="242"/>
      <c r="I273" s="5"/>
    </row>
    <row r="274" spans="1:9" s="2" customFormat="1" ht="48.75" customHeight="1" outlineLevel="1">
      <c r="A274" s="240" t="s">
        <v>819</v>
      </c>
      <c r="B274" s="133" t="s">
        <v>702</v>
      </c>
      <c r="C274" s="133" t="s">
        <v>1073</v>
      </c>
      <c r="D274" s="105" t="s">
        <v>36</v>
      </c>
      <c r="E274" s="370">
        <f>G8*742.5</f>
        <v>742.5</v>
      </c>
      <c r="F274" s="241"/>
      <c r="G274" s="373">
        <f>G8*74.25</f>
        <v>74.25</v>
      </c>
      <c r="H274" s="242"/>
      <c r="I274" s="5"/>
    </row>
    <row r="275" spans="1:9" s="2" customFormat="1" ht="69" customHeight="1" outlineLevel="1">
      <c r="A275" s="240" t="s">
        <v>820</v>
      </c>
      <c r="B275" s="133" t="s">
        <v>703</v>
      </c>
      <c r="C275" s="133" t="s">
        <v>1069</v>
      </c>
      <c r="D275" s="105" t="s">
        <v>36</v>
      </c>
      <c r="E275" s="370">
        <f>G8*371.25</f>
        <v>371.25</v>
      </c>
      <c r="F275" s="241"/>
      <c r="G275" s="373">
        <f>G8*37.13</f>
        <v>37.130000000000003</v>
      </c>
      <c r="H275" s="242"/>
      <c r="I275" s="5"/>
    </row>
    <row r="276" spans="1:9" s="2" customFormat="1" ht="62.25" customHeight="1" outlineLevel="1">
      <c r="A276" s="240" t="s">
        <v>821</v>
      </c>
      <c r="B276" s="133" t="s">
        <v>707</v>
      </c>
      <c r="C276" s="133" t="s">
        <v>1070</v>
      </c>
      <c r="D276" s="105" t="s">
        <v>36</v>
      </c>
      <c r="E276" s="370">
        <f>G8*1180.06</f>
        <v>1180.06</v>
      </c>
      <c r="F276" s="241"/>
      <c r="G276" s="373">
        <f>G8*118.01</f>
        <v>118.01</v>
      </c>
      <c r="H276" s="242"/>
      <c r="I276" s="5"/>
    </row>
    <row r="277" spans="1:9" s="2" customFormat="1" ht="33" customHeight="1" outlineLevel="1">
      <c r="A277" s="240" t="s">
        <v>822</v>
      </c>
      <c r="B277" s="133" t="s">
        <v>501</v>
      </c>
      <c r="C277" s="133" t="s">
        <v>1074</v>
      </c>
      <c r="D277" s="105" t="s">
        <v>36</v>
      </c>
      <c r="E277" s="370">
        <f>G8*1658</f>
        <v>1658</v>
      </c>
      <c r="F277" s="76"/>
      <c r="G277" s="76">
        <f>G8*182.38</f>
        <v>182.38</v>
      </c>
      <c r="H277" s="242"/>
      <c r="I277" s="23"/>
    </row>
    <row r="278" spans="1:9" s="2" customFormat="1" ht="25.5" customHeight="1" outlineLevel="1">
      <c r="A278" s="240" t="s">
        <v>823</v>
      </c>
      <c r="B278" s="133" t="s">
        <v>338</v>
      </c>
      <c r="C278" s="133" t="s">
        <v>339</v>
      </c>
      <c r="D278" s="105" t="s">
        <v>36</v>
      </c>
      <c r="E278" s="370">
        <f>G8*937.54</f>
        <v>937.54</v>
      </c>
      <c r="F278" s="241"/>
      <c r="G278" s="243">
        <v>0</v>
      </c>
      <c r="H278" s="242"/>
      <c r="I278" s="5"/>
    </row>
    <row r="279" spans="1:9" s="2" customFormat="1" ht="30" customHeight="1" outlineLevel="1">
      <c r="A279" s="244" t="s">
        <v>824</v>
      </c>
      <c r="B279" s="101" t="s">
        <v>634</v>
      </c>
      <c r="C279" s="165" t="s">
        <v>845</v>
      </c>
      <c r="D279" s="203" t="s">
        <v>36</v>
      </c>
      <c r="E279" s="370">
        <f>G8*13.5</f>
        <v>13.5</v>
      </c>
      <c r="F279" s="136"/>
      <c r="G279" s="83">
        <v>0</v>
      </c>
      <c r="H279" s="245" t="s">
        <v>66</v>
      </c>
      <c r="I279" s="5"/>
    </row>
    <row r="280" spans="1:9" s="2" customFormat="1" ht="36.75" customHeight="1" outlineLevel="1">
      <c r="A280" s="240" t="s">
        <v>844</v>
      </c>
      <c r="B280" s="101" t="s">
        <v>846</v>
      </c>
      <c r="C280" s="165" t="s">
        <v>1075</v>
      </c>
      <c r="D280" s="203" t="s">
        <v>36</v>
      </c>
      <c r="E280" s="370">
        <f>G8*47.25</f>
        <v>47.25</v>
      </c>
      <c r="F280" s="136"/>
      <c r="G280" s="83">
        <v>0</v>
      </c>
      <c r="H280" s="245"/>
      <c r="I280" s="5"/>
    </row>
    <row r="281" spans="1:9" s="2" customFormat="1" ht="33" customHeight="1" outlineLevel="1">
      <c r="A281" s="246" t="s">
        <v>354</v>
      </c>
      <c r="B281" s="247" t="s">
        <v>761</v>
      </c>
      <c r="C281" s="179"/>
      <c r="D281" s="248"/>
      <c r="E281" s="249"/>
      <c r="F281" s="153"/>
      <c r="G281" s="250"/>
      <c r="H281" s="251"/>
      <c r="I281" s="5"/>
    </row>
    <row r="282" spans="1:9" s="2" customFormat="1" ht="84" customHeight="1" outlineLevel="1">
      <c r="A282" s="240" t="s">
        <v>758</v>
      </c>
      <c r="B282" s="101" t="s">
        <v>1076</v>
      </c>
      <c r="C282" s="165" t="s">
        <v>1078</v>
      </c>
      <c r="D282" s="203" t="s">
        <v>36</v>
      </c>
      <c r="E282" s="370">
        <f>G8*844.9</f>
        <v>844.9</v>
      </c>
      <c r="F282" s="136"/>
      <c r="G282" s="136">
        <v>0</v>
      </c>
      <c r="H282" s="245" t="s">
        <v>66</v>
      </c>
      <c r="I282" s="5"/>
    </row>
    <row r="283" spans="1:9" s="2" customFormat="1" ht="84" customHeight="1" outlineLevel="1">
      <c r="A283" s="240" t="s">
        <v>759</v>
      </c>
      <c r="B283" s="101" t="s">
        <v>1077</v>
      </c>
      <c r="C283" s="165" t="s">
        <v>1346</v>
      </c>
      <c r="D283" s="203" t="s">
        <v>36</v>
      </c>
      <c r="E283" s="370">
        <f>G8*236.25</f>
        <v>236.25</v>
      </c>
      <c r="F283" s="136"/>
      <c r="G283" s="136">
        <v>0</v>
      </c>
      <c r="H283" s="245"/>
      <c r="I283" s="5"/>
    </row>
    <row r="284" spans="1:9" s="2" customFormat="1" ht="94.5" customHeight="1" outlineLevel="1">
      <c r="A284" s="240" t="s">
        <v>760</v>
      </c>
      <c r="B284" s="101" t="s">
        <v>1079</v>
      </c>
      <c r="C284" s="165" t="s">
        <v>1347</v>
      </c>
      <c r="D284" s="203" t="s">
        <v>36</v>
      </c>
      <c r="E284" s="370">
        <f>G8*425.25</f>
        <v>425.25</v>
      </c>
      <c r="F284" s="136"/>
      <c r="G284" s="136">
        <v>0</v>
      </c>
      <c r="H284" s="245"/>
      <c r="I284" s="5"/>
    </row>
    <row r="285" spans="1:9" s="2" customFormat="1" ht="89.25" outlineLevel="1">
      <c r="A285" s="252" t="s">
        <v>356</v>
      </c>
      <c r="B285" s="101" t="s">
        <v>1083</v>
      </c>
      <c r="C285" s="253" t="s">
        <v>1080</v>
      </c>
      <c r="D285" s="254" t="s">
        <v>36</v>
      </c>
      <c r="E285" s="370">
        <f>G8*8131.43</f>
        <v>8131.43</v>
      </c>
      <c r="F285" s="136"/>
      <c r="G285" s="373">
        <f>G8*813.14</f>
        <v>813.14</v>
      </c>
      <c r="H285" s="245" t="s">
        <v>66</v>
      </c>
      <c r="I285" s="5"/>
    </row>
    <row r="286" spans="1:9" s="2" customFormat="1" ht="76.5" outlineLevel="1">
      <c r="A286" s="246" t="s">
        <v>358</v>
      </c>
      <c r="B286" s="101" t="s">
        <v>1082</v>
      </c>
      <c r="C286" s="253" t="s">
        <v>1081</v>
      </c>
      <c r="D286" s="254" t="s">
        <v>36</v>
      </c>
      <c r="E286" s="370">
        <f>G8*6024.36</f>
        <v>6024.36</v>
      </c>
      <c r="F286" s="136"/>
      <c r="G286" s="373">
        <f>G8*602.44</f>
        <v>602.44000000000005</v>
      </c>
      <c r="H286" s="245" t="s">
        <v>66</v>
      </c>
      <c r="I286" s="5"/>
    </row>
    <row r="287" spans="1:9" s="2" customFormat="1" ht="26.25" outlineLevel="1">
      <c r="A287" s="252" t="s">
        <v>359</v>
      </c>
      <c r="B287" s="101" t="s">
        <v>341</v>
      </c>
      <c r="C287" s="235" t="s">
        <v>342</v>
      </c>
      <c r="D287" s="203" t="s">
        <v>54</v>
      </c>
      <c r="E287" s="374">
        <f>G8*451.74</f>
        <v>451.74</v>
      </c>
      <c r="F287" s="136"/>
      <c r="G287" s="83">
        <f>G8*45.17</f>
        <v>45.17</v>
      </c>
      <c r="H287" s="245" t="s">
        <v>66</v>
      </c>
      <c r="I287" s="5"/>
    </row>
    <row r="288" spans="1:9" s="2" customFormat="1" ht="51" outlineLevel="1">
      <c r="A288" s="246" t="s">
        <v>403</v>
      </c>
      <c r="B288" s="101" t="s">
        <v>1084</v>
      </c>
      <c r="C288" s="165" t="s">
        <v>313</v>
      </c>
      <c r="D288" s="203" t="s">
        <v>314</v>
      </c>
      <c r="E288" s="370">
        <f>G8*4561.98</f>
        <v>4561.9799999999996</v>
      </c>
      <c r="F288" s="136"/>
      <c r="G288" s="373">
        <f>G8*456.38</f>
        <v>456.38</v>
      </c>
      <c r="H288" s="245"/>
      <c r="I288" s="5"/>
    </row>
    <row r="289" spans="1:10" s="2" customFormat="1" ht="111" customHeight="1" outlineLevel="1">
      <c r="A289" s="252" t="s">
        <v>404</v>
      </c>
      <c r="B289" s="101" t="s">
        <v>1085</v>
      </c>
      <c r="C289" s="165" t="s">
        <v>672</v>
      </c>
      <c r="D289" s="234" t="s">
        <v>54</v>
      </c>
      <c r="E289" s="75">
        <f>G8*83.07</f>
        <v>83.07</v>
      </c>
      <c r="F289" s="136"/>
      <c r="G289" s="83">
        <f>G8*8.31</f>
        <v>8.31</v>
      </c>
      <c r="H289" s="187" t="s">
        <v>1088</v>
      </c>
      <c r="I289" s="5"/>
    </row>
    <row r="290" spans="1:10" s="2" customFormat="1" ht="98.25" customHeight="1" outlineLevel="1">
      <c r="A290" s="246" t="s">
        <v>405</v>
      </c>
      <c r="B290" s="101" t="s">
        <v>1086</v>
      </c>
      <c r="C290" s="165" t="s">
        <v>671</v>
      </c>
      <c r="D290" s="234" t="s">
        <v>54</v>
      </c>
      <c r="E290" s="75">
        <f>G8*59.69</f>
        <v>59.69</v>
      </c>
      <c r="F290" s="136"/>
      <c r="G290" s="83">
        <f>G8*5.97</f>
        <v>5.97</v>
      </c>
      <c r="H290" s="187" t="s">
        <v>1088</v>
      </c>
      <c r="I290" s="5"/>
    </row>
    <row r="291" spans="1:10" s="2" customFormat="1" ht="94.5" customHeight="1" outlineLevel="1">
      <c r="A291" s="252" t="s">
        <v>406</v>
      </c>
      <c r="B291" s="101" t="s">
        <v>1087</v>
      </c>
      <c r="C291" s="165" t="s">
        <v>344</v>
      </c>
      <c r="D291" s="203" t="s">
        <v>54</v>
      </c>
      <c r="E291" s="75">
        <f>G8*94.74</f>
        <v>94.74</v>
      </c>
      <c r="F291" s="136"/>
      <c r="G291" s="83">
        <f>G8*9.47</f>
        <v>9.4700000000000006</v>
      </c>
      <c r="H291" s="187" t="s">
        <v>1088</v>
      </c>
      <c r="I291" s="5"/>
    </row>
    <row r="292" spans="1:10" s="2" customFormat="1" ht="36" customHeight="1" outlineLevel="1">
      <c r="A292" s="246" t="s">
        <v>407</v>
      </c>
      <c r="B292" s="133" t="s">
        <v>55</v>
      </c>
      <c r="C292" s="133" t="s">
        <v>56</v>
      </c>
      <c r="D292" s="105" t="s">
        <v>36</v>
      </c>
      <c r="E292" s="136">
        <f>G8*357.8</f>
        <v>357.8</v>
      </c>
      <c r="F292" s="136"/>
      <c r="G292" s="76">
        <f>G8*35.78</f>
        <v>35.78</v>
      </c>
      <c r="H292" s="133" t="s">
        <v>66</v>
      </c>
      <c r="I292" s="5"/>
    </row>
    <row r="293" spans="1:10" s="2" customFormat="1" ht="31.5" customHeight="1" outlineLevel="1">
      <c r="A293" s="252" t="s">
        <v>408</v>
      </c>
      <c r="B293" s="101" t="s">
        <v>351</v>
      </c>
      <c r="C293" s="235" t="s">
        <v>1091</v>
      </c>
      <c r="D293" s="203" t="s">
        <v>36</v>
      </c>
      <c r="E293" s="75">
        <f>G8*140.23</f>
        <v>140.22999999999999</v>
      </c>
      <c r="F293" s="136"/>
      <c r="G293" s="83">
        <f>G8*14.02</f>
        <v>14.02</v>
      </c>
      <c r="H293" s="233" t="s">
        <v>66</v>
      </c>
      <c r="I293" s="5"/>
    </row>
    <row r="294" spans="1:10" s="2" customFormat="1" ht="35.25" customHeight="1" outlineLevel="1">
      <c r="A294" s="246" t="s">
        <v>409</v>
      </c>
      <c r="B294" s="101" t="s">
        <v>182</v>
      </c>
      <c r="C294" s="235" t="s">
        <v>346</v>
      </c>
      <c r="D294" s="203" t="s">
        <v>36</v>
      </c>
      <c r="E294" s="75">
        <f>G8*170.28</f>
        <v>170.28</v>
      </c>
      <c r="F294" s="136"/>
      <c r="G294" s="83">
        <f>G8*17.03</f>
        <v>17.03</v>
      </c>
      <c r="H294" s="233" t="s">
        <v>66</v>
      </c>
      <c r="I294" s="5"/>
    </row>
    <row r="295" spans="1:10" s="2" customFormat="1" ht="30" customHeight="1" outlineLevel="1">
      <c r="A295" s="252" t="s">
        <v>410</v>
      </c>
      <c r="B295" s="101" t="s">
        <v>348</v>
      </c>
      <c r="C295" s="235" t="s">
        <v>349</v>
      </c>
      <c r="D295" s="203" t="s">
        <v>36</v>
      </c>
      <c r="E295" s="75">
        <f>G8*108.31</f>
        <v>108.31</v>
      </c>
      <c r="F295" s="136"/>
      <c r="G295" s="83">
        <v>0</v>
      </c>
      <c r="H295" s="245" t="s">
        <v>66</v>
      </c>
      <c r="I295" s="5"/>
    </row>
    <row r="296" spans="1:10" s="2" customFormat="1" ht="145.15" customHeight="1" outlineLevel="1">
      <c r="A296" s="246" t="s">
        <v>411</v>
      </c>
      <c r="B296" s="101" t="s">
        <v>331</v>
      </c>
      <c r="C296" s="253" t="s">
        <v>1092</v>
      </c>
      <c r="D296" s="203" t="s">
        <v>52</v>
      </c>
      <c r="E296" s="75">
        <f>G8*62531.95</f>
        <v>62531.95</v>
      </c>
      <c r="F296" s="136"/>
      <c r="G296" s="83">
        <f>G8*6250.28</f>
        <v>6250.28</v>
      </c>
      <c r="H296" s="245" t="s">
        <v>66</v>
      </c>
      <c r="I296" s="5"/>
    </row>
    <row r="297" spans="1:10" s="2" customFormat="1" ht="30" customHeight="1" outlineLevel="1">
      <c r="A297" s="252" t="s">
        <v>412</v>
      </c>
      <c r="B297" s="101" t="s">
        <v>1089</v>
      </c>
      <c r="C297" s="235" t="s">
        <v>1093</v>
      </c>
      <c r="D297" s="203" t="s">
        <v>36</v>
      </c>
      <c r="E297" s="75">
        <f>G8*443.72</f>
        <v>443.72</v>
      </c>
      <c r="F297" s="136"/>
      <c r="G297" s="83">
        <f>G8*44.37</f>
        <v>44.37</v>
      </c>
      <c r="H297" s="245" t="s">
        <v>66</v>
      </c>
      <c r="I297" s="5"/>
    </row>
    <row r="298" spans="1:10" s="2" customFormat="1" ht="30" customHeight="1" outlineLevel="1">
      <c r="A298" s="246" t="s">
        <v>413</v>
      </c>
      <c r="B298" s="101" t="s">
        <v>1090</v>
      </c>
      <c r="C298" s="235" t="s">
        <v>1094</v>
      </c>
      <c r="D298" s="203" t="s">
        <v>36</v>
      </c>
      <c r="E298" s="75">
        <f>G8*992.08</f>
        <v>992.08</v>
      </c>
      <c r="F298" s="136"/>
      <c r="G298" s="83">
        <f>G8*99.21</f>
        <v>99.21</v>
      </c>
      <c r="H298" s="245" t="s">
        <v>66</v>
      </c>
      <c r="I298" s="5"/>
      <c r="J298" s="5"/>
    </row>
    <row r="299" spans="1:10" s="2" customFormat="1" ht="36.75" customHeight="1" outlineLevel="1">
      <c r="A299" s="236" t="s">
        <v>414</v>
      </c>
      <c r="B299" s="247" t="s">
        <v>629</v>
      </c>
      <c r="C299" s="140"/>
      <c r="D299" s="248"/>
      <c r="E299" s="153"/>
      <c r="F299" s="153"/>
      <c r="G299" s="153"/>
      <c r="H299" s="255"/>
      <c r="I299" s="5"/>
      <c r="J299" s="20"/>
    </row>
    <row r="300" spans="1:10" s="2" customFormat="1" ht="49.5" customHeight="1" outlineLevel="1">
      <c r="A300" s="240" t="s">
        <v>721</v>
      </c>
      <c r="B300" s="101" t="s">
        <v>633</v>
      </c>
      <c r="C300" s="310" t="s">
        <v>632</v>
      </c>
      <c r="D300" s="203" t="s">
        <v>631</v>
      </c>
      <c r="E300" s="370">
        <f>G8*2257.88</f>
        <v>2257.88</v>
      </c>
      <c r="F300" s="136"/>
      <c r="G300" s="136">
        <v>0</v>
      </c>
      <c r="H300" s="245"/>
      <c r="I300" s="5"/>
      <c r="J300" s="20"/>
    </row>
    <row r="301" spans="1:10" s="2" customFormat="1" ht="114" customHeight="1" outlineLevel="1">
      <c r="A301" s="256" t="s">
        <v>722</v>
      </c>
      <c r="B301" s="101" t="s">
        <v>630</v>
      </c>
      <c r="C301" s="310" t="s">
        <v>1096</v>
      </c>
      <c r="D301" s="203" t="s">
        <v>631</v>
      </c>
      <c r="E301" s="370">
        <f>G8*15052.5</f>
        <v>15052.5</v>
      </c>
      <c r="F301" s="136"/>
      <c r="G301" s="136">
        <v>0</v>
      </c>
      <c r="H301" s="245"/>
      <c r="I301" s="5"/>
      <c r="J301" s="20"/>
    </row>
    <row r="302" spans="1:10" s="2" customFormat="1" ht="126" customHeight="1" outlineLevel="1">
      <c r="A302" s="240" t="s">
        <v>726</v>
      </c>
      <c r="B302" s="101" t="s">
        <v>723</v>
      </c>
      <c r="C302" s="310" t="s">
        <v>1097</v>
      </c>
      <c r="D302" s="43" t="s">
        <v>740</v>
      </c>
      <c r="E302" s="370">
        <f>G8*5904.34</f>
        <v>5904.34</v>
      </c>
      <c r="F302" s="136"/>
      <c r="G302" s="136">
        <f>G8*649.48</f>
        <v>649.48</v>
      </c>
      <c r="H302" s="245"/>
      <c r="I302" s="5"/>
      <c r="J302" s="20"/>
    </row>
    <row r="303" spans="1:10" s="2" customFormat="1" ht="53.25" customHeight="1" outlineLevel="1">
      <c r="A303" s="256" t="s">
        <v>727</v>
      </c>
      <c r="B303" s="101" t="s">
        <v>724</v>
      </c>
      <c r="C303" s="310" t="s">
        <v>1095</v>
      </c>
      <c r="D303" s="257" t="s">
        <v>52</v>
      </c>
      <c r="E303" s="370">
        <f>G8*1363.5</f>
        <v>1363.5</v>
      </c>
      <c r="F303" s="136"/>
      <c r="G303" s="136">
        <f>G8*68.85</f>
        <v>68.849999999999994</v>
      </c>
      <c r="H303" s="245"/>
      <c r="I303" s="5"/>
      <c r="J303" s="20"/>
    </row>
    <row r="304" spans="1:10" s="2" customFormat="1" ht="64.5" customHeight="1" outlineLevel="1">
      <c r="A304" s="240" t="s">
        <v>728</v>
      </c>
      <c r="B304" s="101" t="s">
        <v>725</v>
      </c>
      <c r="C304" s="310" t="s">
        <v>1098</v>
      </c>
      <c r="D304" s="257" t="s">
        <v>52</v>
      </c>
      <c r="E304" s="370">
        <f>G8*3939.3</f>
        <v>3939.3</v>
      </c>
      <c r="F304" s="136"/>
      <c r="G304" s="136">
        <f>G8*294.3</f>
        <v>294.3</v>
      </c>
      <c r="H304" s="245"/>
      <c r="I304" s="5"/>
      <c r="J304" s="20"/>
    </row>
    <row r="305" spans="1:10" s="2" customFormat="1" ht="126" customHeight="1" outlineLevel="1">
      <c r="A305" s="246" t="s">
        <v>415</v>
      </c>
      <c r="B305" s="101" t="s">
        <v>735</v>
      </c>
      <c r="C305" s="310" t="s">
        <v>1099</v>
      </c>
      <c r="D305" s="257" t="s">
        <v>736</v>
      </c>
      <c r="E305" s="370">
        <f>G8*10452.32</f>
        <v>10452.32</v>
      </c>
      <c r="F305" s="136"/>
      <c r="G305" s="136">
        <f>G8*1149.76</f>
        <v>1149.76</v>
      </c>
      <c r="H305" s="245"/>
      <c r="I305" s="5"/>
      <c r="J305" s="20"/>
    </row>
    <row r="306" spans="1:10" s="2" customFormat="1" ht="125.25" customHeight="1" outlineLevel="1">
      <c r="A306" s="246" t="s">
        <v>416</v>
      </c>
      <c r="B306" s="101" t="s">
        <v>737</v>
      </c>
      <c r="C306" s="310" t="s">
        <v>1103</v>
      </c>
      <c r="D306" s="257" t="s">
        <v>736</v>
      </c>
      <c r="E306" s="370">
        <f>G8*11614.08</f>
        <v>11614.08</v>
      </c>
      <c r="F306" s="136"/>
      <c r="G306" s="136">
        <f>G8*1277.55</f>
        <v>1277.55</v>
      </c>
      <c r="H306" s="245"/>
      <c r="I306" s="5"/>
      <c r="J306" s="20"/>
    </row>
    <row r="307" spans="1:10" s="2" customFormat="1" ht="175.5" customHeight="1" outlineLevel="1">
      <c r="A307" s="246" t="s">
        <v>417</v>
      </c>
      <c r="B307" s="101" t="s">
        <v>738</v>
      </c>
      <c r="C307" s="310" t="s">
        <v>1102</v>
      </c>
      <c r="D307" s="257" t="s">
        <v>736</v>
      </c>
      <c r="E307" s="370">
        <f>G8*17498.4</f>
        <v>17498.400000000001</v>
      </c>
      <c r="F307" s="136"/>
      <c r="G307" s="136">
        <f>G8*1924.82</f>
        <v>1924.82</v>
      </c>
      <c r="H307" s="245"/>
      <c r="I307" s="5"/>
      <c r="J307" s="20"/>
    </row>
    <row r="308" spans="1:10" s="2" customFormat="1" ht="179.25" customHeight="1" outlineLevel="1">
      <c r="A308" s="246" t="s">
        <v>653</v>
      </c>
      <c r="B308" s="101" t="s">
        <v>729</v>
      </c>
      <c r="C308" s="310" t="s">
        <v>1101</v>
      </c>
      <c r="D308" s="257" t="s">
        <v>736</v>
      </c>
      <c r="E308" s="370">
        <f>G8*21929.71</f>
        <v>21929.71</v>
      </c>
      <c r="F308" s="136"/>
      <c r="G308" s="136">
        <f>G8*2412.27</f>
        <v>2412.27</v>
      </c>
      <c r="H308" s="245"/>
      <c r="I308" s="5"/>
      <c r="J308" s="20"/>
    </row>
    <row r="309" spans="1:10" s="2" customFormat="1" ht="55.5" customHeight="1" outlineLevel="1">
      <c r="A309" s="246" t="s">
        <v>654</v>
      </c>
      <c r="B309" s="101" t="s">
        <v>730</v>
      </c>
      <c r="C309" s="310" t="s">
        <v>1100</v>
      </c>
      <c r="D309" s="135" t="s">
        <v>739</v>
      </c>
      <c r="E309" s="370">
        <f>G8*8004.15</f>
        <v>8004.15</v>
      </c>
      <c r="F309" s="136"/>
      <c r="G309" s="136">
        <f>G8*679.05</f>
        <v>679.05</v>
      </c>
      <c r="H309" s="245"/>
      <c r="I309" s="5"/>
      <c r="J309" s="20"/>
    </row>
    <row r="310" spans="1:10" s="2" customFormat="1" ht="54" customHeight="1" outlineLevel="1">
      <c r="A310" s="246" t="s">
        <v>418</v>
      </c>
      <c r="B310" s="101" t="s">
        <v>319</v>
      </c>
      <c r="C310" s="165" t="s">
        <v>502</v>
      </c>
      <c r="D310" s="130" t="s">
        <v>320</v>
      </c>
      <c r="E310" s="370">
        <f>G8*203040</f>
        <v>203040</v>
      </c>
      <c r="F310" s="136"/>
      <c r="G310" s="373">
        <f>G8*27000</f>
        <v>27000</v>
      </c>
      <c r="H310" s="245"/>
      <c r="I310" s="24"/>
    </row>
    <row r="311" spans="1:10" s="2" customFormat="1" ht="34.5" customHeight="1" outlineLevel="1">
      <c r="A311" s="246" t="s">
        <v>419</v>
      </c>
      <c r="B311" s="101" t="s">
        <v>353</v>
      </c>
      <c r="C311" s="165" t="s">
        <v>1104</v>
      </c>
      <c r="D311" s="130" t="s">
        <v>36</v>
      </c>
      <c r="E311" s="75">
        <f>G8*922</f>
        <v>922</v>
      </c>
      <c r="F311" s="136"/>
      <c r="G311" s="83">
        <f>G8*85</f>
        <v>85</v>
      </c>
      <c r="H311" s="258" t="s">
        <v>66</v>
      </c>
      <c r="I311" s="24"/>
    </row>
    <row r="312" spans="1:10" s="2" customFormat="1" ht="33" customHeight="1" outlineLevel="1">
      <c r="A312" s="246" t="s">
        <v>420</v>
      </c>
      <c r="B312" s="101" t="s">
        <v>841</v>
      </c>
      <c r="C312" s="165" t="s">
        <v>840</v>
      </c>
      <c r="D312" s="130" t="s">
        <v>36</v>
      </c>
      <c r="E312" s="75">
        <f>G8*1183.93</f>
        <v>1183.93</v>
      </c>
      <c r="F312" s="136"/>
      <c r="G312" s="83">
        <f>G8*118.39</f>
        <v>118.39</v>
      </c>
      <c r="H312" s="258" t="s">
        <v>66</v>
      </c>
      <c r="I312" s="24"/>
    </row>
    <row r="313" spans="1:10" s="2" customFormat="1" ht="59.25" customHeight="1" outlineLevel="1">
      <c r="A313" s="246" t="s">
        <v>421</v>
      </c>
      <c r="B313" s="101" t="s">
        <v>593</v>
      </c>
      <c r="C313" s="165" t="s">
        <v>1105</v>
      </c>
      <c r="D313" s="130" t="s">
        <v>36</v>
      </c>
      <c r="E313" s="75">
        <f>G8*405</f>
        <v>405</v>
      </c>
      <c r="F313" s="136"/>
      <c r="G313" s="83">
        <f>G8*40.5</f>
        <v>40.5</v>
      </c>
      <c r="H313" s="258"/>
      <c r="I313" s="24"/>
    </row>
    <row r="314" spans="1:10" s="2" customFormat="1" ht="52.5" customHeight="1" outlineLevel="1">
      <c r="A314" s="246" t="s">
        <v>422</v>
      </c>
      <c r="B314" s="101" t="s">
        <v>673</v>
      </c>
      <c r="C314" s="165" t="s">
        <v>1106</v>
      </c>
      <c r="D314" s="203" t="s">
        <v>36</v>
      </c>
      <c r="E314" s="75">
        <f>G8*202.5</f>
        <v>202.5</v>
      </c>
      <c r="F314" s="136"/>
      <c r="G314" s="83">
        <f>G8*20.25</f>
        <v>20.25</v>
      </c>
      <c r="H314" s="258"/>
      <c r="I314" s="24"/>
    </row>
    <row r="315" spans="1:10" s="2" customFormat="1" ht="52.5" customHeight="1" outlineLevel="1">
      <c r="A315" s="246" t="s">
        <v>423</v>
      </c>
      <c r="B315" s="101" t="s">
        <v>698</v>
      </c>
      <c r="C315" s="165" t="s">
        <v>1107</v>
      </c>
      <c r="D315" s="130" t="s">
        <v>36</v>
      </c>
      <c r="E315" s="75">
        <f>G8*337.5</f>
        <v>337.5</v>
      </c>
      <c r="F315" s="136"/>
      <c r="G315" s="83">
        <f>G8*33.75</f>
        <v>33.75</v>
      </c>
      <c r="H315" s="102"/>
      <c r="I315" s="24"/>
    </row>
    <row r="316" spans="1:10" s="2" customFormat="1" ht="112.9" customHeight="1" outlineLevel="1">
      <c r="A316" s="246" t="s">
        <v>604</v>
      </c>
      <c r="B316" s="101" t="s">
        <v>1394</v>
      </c>
      <c r="C316" s="165" t="s">
        <v>1108</v>
      </c>
      <c r="D316" s="208" t="s">
        <v>36</v>
      </c>
      <c r="E316" s="370">
        <f>G8*588.23</f>
        <v>588.23</v>
      </c>
      <c r="F316" s="136"/>
      <c r="G316" s="373">
        <f>G8*58.82</f>
        <v>58.82</v>
      </c>
      <c r="H316" s="231" t="s">
        <v>706</v>
      </c>
      <c r="I316" s="5"/>
    </row>
    <row r="317" spans="1:10" s="2" customFormat="1" ht="110.25" customHeight="1" outlineLevel="1">
      <c r="A317" s="246" t="s">
        <v>424</v>
      </c>
      <c r="B317" s="101" t="s">
        <v>1396</v>
      </c>
      <c r="C317" s="165" t="s">
        <v>1109</v>
      </c>
      <c r="D317" s="208" t="s">
        <v>36</v>
      </c>
      <c r="E317" s="370">
        <f>G8*1975.95</f>
        <v>1975.95</v>
      </c>
      <c r="F317" s="136"/>
      <c r="G317" s="373">
        <f>G8*197.59</f>
        <v>197.59</v>
      </c>
      <c r="H317" s="231" t="s">
        <v>706</v>
      </c>
      <c r="I317" s="5"/>
    </row>
    <row r="318" spans="1:10" s="2" customFormat="1" ht="119.25" customHeight="1" outlineLevel="1">
      <c r="A318" s="246" t="s">
        <v>708</v>
      </c>
      <c r="B318" s="310" t="s">
        <v>1407</v>
      </c>
      <c r="C318" s="310" t="s">
        <v>1110</v>
      </c>
      <c r="D318" s="94" t="s">
        <v>670</v>
      </c>
      <c r="E318" s="136">
        <f>G8*1508</f>
        <v>1508</v>
      </c>
      <c r="F318" s="136"/>
      <c r="G318" s="76">
        <f>G8*99</f>
        <v>99</v>
      </c>
      <c r="H318" s="259"/>
      <c r="I318" s="5"/>
    </row>
    <row r="319" spans="1:10" s="2" customFormat="1" ht="107.25" customHeight="1" outlineLevel="1">
      <c r="A319" s="246" t="s">
        <v>425</v>
      </c>
      <c r="B319" s="133" t="s">
        <v>1406</v>
      </c>
      <c r="C319" s="310" t="s">
        <v>1111</v>
      </c>
      <c r="D319" s="135" t="s">
        <v>36</v>
      </c>
      <c r="E319" s="136">
        <f>G8*1790.78</f>
        <v>1790.78</v>
      </c>
      <c r="F319" s="136"/>
      <c r="G319" s="76">
        <f>G8*138.38</f>
        <v>138.38</v>
      </c>
      <c r="H319" s="229"/>
      <c r="I319" s="5"/>
    </row>
    <row r="320" spans="1:10" s="2" customFormat="1" ht="160.5" customHeight="1" outlineLevel="1">
      <c r="A320" s="246" t="s">
        <v>426</v>
      </c>
      <c r="B320" s="101" t="s">
        <v>1113</v>
      </c>
      <c r="C320" s="253" t="s">
        <v>1112</v>
      </c>
      <c r="D320" s="135" t="s">
        <v>35</v>
      </c>
      <c r="E320" s="370">
        <f>G8*2046</f>
        <v>2046</v>
      </c>
      <c r="F320" s="136"/>
      <c r="G320" s="373">
        <f>G8*187</f>
        <v>187</v>
      </c>
      <c r="H320" s="260"/>
      <c r="I320" s="5"/>
    </row>
    <row r="321" spans="1:9" s="2" customFormat="1" ht="159" customHeight="1" outlineLevel="1">
      <c r="A321" s="246" t="s">
        <v>427</v>
      </c>
      <c r="B321" s="101" t="s">
        <v>1114</v>
      </c>
      <c r="C321" s="253" t="s">
        <v>1115</v>
      </c>
      <c r="D321" s="135" t="s">
        <v>35</v>
      </c>
      <c r="E321" s="370">
        <f>G8*1186</f>
        <v>1186</v>
      </c>
      <c r="F321" s="136"/>
      <c r="G321" s="373">
        <f>G8*108</f>
        <v>108</v>
      </c>
      <c r="H321" s="231"/>
      <c r="I321" s="5"/>
    </row>
    <row r="322" spans="1:9" s="2" customFormat="1" ht="64.5" customHeight="1" outlineLevel="1">
      <c r="A322" s="246" t="s">
        <v>428</v>
      </c>
      <c r="B322" s="101" t="s">
        <v>1404</v>
      </c>
      <c r="C322" s="165" t="s">
        <v>336</v>
      </c>
      <c r="D322" s="130" t="s">
        <v>54</v>
      </c>
      <c r="E322" s="75">
        <f>G8*659.07</f>
        <v>659.07</v>
      </c>
      <c r="F322" s="136"/>
      <c r="G322" s="83">
        <f>G8*65.91</f>
        <v>65.91</v>
      </c>
      <c r="H322" s="231"/>
      <c r="I322" s="5"/>
    </row>
    <row r="323" spans="1:9" s="2" customFormat="1" ht="62.25" customHeight="1" outlineLevel="1">
      <c r="A323" s="246" t="s">
        <v>429</v>
      </c>
      <c r="B323" s="310" t="s">
        <v>1118</v>
      </c>
      <c r="C323" s="165" t="s">
        <v>355</v>
      </c>
      <c r="D323" s="130" t="s">
        <v>277</v>
      </c>
      <c r="E323" s="75">
        <f>G8*803.13</f>
        <v>803.13</v>
      </c>
      <c r="F323" s="136"/>
      <c r="G323" s="83">
        <v>0</v>
      </c>
      <c r="H323" s="233" t="s">
        <v>66</v>
      </c>
      <c r="I323" s="5"/>
    </row>
    <row r="324" spans="1:9" s="2" customFormat="1" ht="88.5" customHeight="1" outlineLevel="1">
      <c r="A324" s="246" t="s">
        <v>430</v>
      </c>
      <c r="B324" s="101" t="s">
        <v>603</v>
      </c>
      <c r="C324" s="165" t="s">
        <v>1117</v>
      </c>
      <c r="D324" s="130" t="s">
        <v>36</v>
      </c>
      <c r="E324" s="75">
        <f>G8*5777</f>
        <v>5777</v>
      </c>
      <c r="F324" s="136"/>
      <c r="G324" s="83">
        <f>G8*532</f>
        <v>532</v>
      </c>
      <c r="H324" s="233" t="s">
        <v>66</v>
      </c>
      <c r="I324" s="5"/>
    </row>
    <row r="325" spans="1:9" s="2" customFormat="1" ht="60" customHeight="1" outlineLevel="1">
      <c r="A325" s="246" t="s">
        <v>431</v>
      </c>
      <c r="B325" s="133" t="s">
        <v>60</v>
      </c>
      <c r="C325" s="133" t="s">
        <v>1116</v>
      </c>
      <c r="D325" s="135" t="s">
        <v>36</v>
      </c>
      <c r="E325" s="136">
        <f>G8*5003.69</f>
        <v>5003.6899999999996</v>
      </c>
      <c r="F325" s="136"/>
      <c r="G325" s="76">
        <f>G8*550.41</f>
        <v>550.41</v>
      </c>
      <c r="H325" s="133" t="s">
        <v>66</v>
      </c>
      <c r="I325" s="5"/>
    </row>
    <row r="326" spans="1:9" s="2" customFormat="1" ht="56.25" outlineLevel="1">
      <c r="A326" s="246" t="s">
        <v>432</v>
      </c>
      <c r="B326" s="133" t="s">
        <v>59</v>
      </c>
      <c r="C326" s="133" t="s">
        <v>66</v>
      </c>
      <c r="D326" s="135" t="s">
        <v>50</v>
      </c>
      <c r="E326" s="261" t="s">
        <v>662</v>
      </c>
      <c r="F326" s="136"/>
      <c r="G326" s="76" t="s">
        <v>66</v>
      </c>
      <c r="H326" s="152" t="s">
        <v>809</v>
      </c>
      <c r="I326" s="5"/>
    </row>
    <row r="327" spans="1:9" s="2" customFormat="1" ht="31.5" customHeight="1" outlineLevel="1">
      <c r="A327" s="384" t="s">
        <v>392</v>
      </c>
      <c r="B327" s="384"/>
      <c r="C327" s="384"/>
      <c r="D327" s="384"/>
      <c r="E327" s="384"/>
      <c r="F327" s="384"/>
      <c r="G327" s="384"/>
      <c r="H327" s="384"/>
      <c r="I327" s="5"/>
    </row>
    <row r="328" spans="1:9" s="2" customFormat="1" ht="51" outlineLevel="1">
      <c r="A328" s="246" t="s">
        <v>541</v>
      </c>
      <c r="B328" s="133" t="s">
        <v>232</v>
      </c>
      <c r="C328" s="133" t="s">
        <v>233</v>
      </c>
      <c r="D328" s="214" t="s">
        <v>1</v>
      </c>
      <c r="E328" s="209">
        <f>G8*1398.89</f>
        <v>1398.89</v>
      </c>
      <c r="F328" s="136"/>
      <c r="G328" s="83">
        <v>0</v>
      </c>
      <c r="H328" s="102" t="s">
        <v>481</v>
      </c>
      <c r="I328" s="5"/>
    </row>
    <row r="329" spans="1:9" s="2" customFormat="1" ht="51" outlineLevel="1">
      <c r="A329" s="246" t="s">
        <v>542</v>
      </c>
      <c r="B329" s="133" t="s">
        <v>20</v>
      </c>
      <c r="C329" s="133" t="s">
        <v>1124</v>
      </c>
      <c r="D329" s="135" t="s">
        <v>49</v>
      </c>
      <c r="E329" s="136">
        <f>G8*30105</f>
        <v>30105</v>
      </c>
      <c r="F329" s="136"/>
      <c r="G329" s="76">
        <f>G8*7225.2</f>
        <v>7225.2</v>
      </c>
      <c r="H329" s="133" t="s">
        <v>66</v>
      </c>
      <c r="I329" s="5"/>
    </row>
    <row r="330" spans="1:9" s="2" customFormat="1" ht="25.5" outlineLevel="1">
      <c r="A330" s="246" t="s">
        <v>543</v>
      </c>
      <c r="B330" s="133" t="s">
        <v>184</v>
      </c>
      <c r="C330" s="133" t="s">
        <v>1122</v>
      </c>
      <c r="D330" s="214" t="s">
        <v>1</v>
      </c>
      <c r="E330" s="209">
        <f>G8*397.5</f>
        <v>397.5</v>
      </c>
      <c r="F330" s="136"/>
      <c r="G330" s="83">
        <f>G8*41</f>
        <v>41</v>
      </c>
      <c r="H330" s="102" t="s">
        <v>481</v>
      </c>
      <c r="I330" s="5"/>
    </row>
    <row r="331" spans="1:9" s="2" customFormat="1" ht="38.25" outlineLevel="1">
      <c r="A331" s="246" t="s">
        <v>544</v>
      </c>
      <c r="B331" s="133" t="s">
        <v>173</v>
      </c>
      <c r="C331" s="133" t="s">
        <v>1123</v>
      </c>
      <c r="D331" s="214" t="s">
        <v>1</v>
      </c>
      <c r="E331" s="209">
        <f>G8*376.81</f>
        <v>376.81</v>
      </c>
      <c r="F331" s="136"/>
      <c r="G331" s="83">
        <v>0</v>
      </c>
      <c r="H331" s="102" t="s">
        <v>481</v>
      </c>
      <c r="I331" s="5"/>
    </row>
    <row r="332" spans="1:9" s="2" customFormat="1" ht="38.25" outlineLevel="1">
      <c r="A332" s="246" t="s">
        <v>545</v>
      </c>
      <c r="B332" s="133" t="s">
        <v>51</v>
      </c>
      <c r="C332" s="133" t="s">
        <v>140</v>
      </c>
      <c r="D332" s="135" t="s">
        <v>52</v>
      </c>
      <c r="E332" s="136">
        <f>G8*566.38</f>
        <v>566.38</v>
      </c>
      <c r="F332" s="136"/>
      <c r="G332" s="76">
        <f>G8*56.64</f>
        <v>56.64</v>
      </c>
      <c r="H332" s="133" t="s">
        <v>66</v>
      </c>
      <c r="I332" s="5"/>
    </row>
    <row r="333" spans="1:9" s="2" customFormat="1" ht="51" outlineLevel="1">
      <c r="A333" s="246" t="s">
        <v>546</v>
      </c>
      <c r="B333" s="138" t="s">
        <v>1125</v>
      </c>
      <c r="C333" s="133" t="s">
        <v>1119</v>
      </c>
      <c r="D333" s="130" t="s">
        <v>709</v>
      </c>
      <c r="E333" s="209">
        <f>G8*708</f>
        <v>708</v>
      </c>
      <c r="F333" s="136"/>
      <c r="G333" s="83">
        <f>G8*71</f>
        <v>71</v>
      </c>
      <c r="H333" s="102" t="s">
        <v>481</v>
      </c>
      <c r="I333" s="5"/>
    </row>
    <row r="334" spans="1:9" s="2" customFormat="1" ht="51" outlineLevel="1">
      <c r="A334" s="246" t="s">
        <v>547</v>
      </c>
      <c r="B334" s="138" t="s">
        <v>1126</v>
      </c>
      <c r="C334" s="133" t="s">
        <v>1120</v>
      </c>
      <c r="D334" s="130" t="s">
        <v>710</v>
      </c>
      <c r="E334" s="209">
        <f>G8*523</f>
        <v>523</v>
      </c>
      <c r="F334" s="136"/>
      <c r="G334" s="372">
        <f>G8*52</f>
        <v>52</v>
      </c>
      <c r="H334" s="102" t="s">
        <v>481</v>
      </c>
      <c r="I334" s="5"/>
    </row>
    <row r="335" spans="1:9" s="2" customFormat="1" ht="85.5" customHeight="1" outlineLevel="1">
      <c r="A335" s="246" t="s">
        <v>548</v>
      </c>
      <c r="B335" s="310" t="s">
        <v>1127</v>
      </c>
      <c r="C335" s="133" t="s">
        <v>289</v>
      </c>
      <c r="D335" s="130" t="s">
        <v>54</v>
      </c>
      <c r="E335" s="262">
        <f>G8*97.21</f>
        <v>97.21</v>
      </c>
      <c r="F335" s="136"/>
      <c r="G335" s="373">
        <f>G8*9.72</f>
        <v>9.7200000000000006</v>
      </c>
      <c r="H335" s="233" t="s">
        <v>66</v>
      </c>
      <c r="I335" s="5"/>
    </row>
    <row r="336" spans="1:9" s="2" customFormat="1" ht="63.75" outlineLevel="1">
      <c r="A336" s="246" t="s">
        <v>549</v>
      </c>
      <c r="B336" s="310" t="s">
        <v>1128</v>
      </c>
      <c r="C336" s="133" t="s">
        <v>291</v>
      </c>
      <c r="D336" s="130" t="s">
        <v>54</v>
      </c>
      <c r="E336" s="370">
        <f>G8*138</f>
        <v>138</v>
      </c>
      <c r="F336" s="136"/>
      <c r="G336" s="373">
        <f>G8*13.8</f>
        <v>13.8</v>
      </c>
      <c r="H336" s="233" t="s">
        <v>66</v>
      </c>
      <c r="I336" s="5"/>
    </row>
    <row r="337" spans="1:11" s="2" customFormat="1" ht="63.75" outlineLevel="1">
      <c r="A337" s="246" t="s">
        <v>550</v>
      </c>
      <c r="B337" s="310" t="s">
        <v>1129</v>
      </c>
      <c r="C337" s="133" t="s">
        <v>293</v>
      </c>
      <c r="D337" s="130" t="s">
        <v>54</v>
      </c>
      <c r="E337" s="371">
        <f>G8*164</f>
        <v>164</v>
      </c>
      <c r="F337" s="263"/>
      <c r="G337" s="371">
        <f>G8*16.4</f>
        <v>16.399999999999999</v>
      </c>
      <c r="H337" s="233" t="s">
        <v>66</v>
      </c>
      <c r="I337" s="5"/>
    </row>
    <row r="338" spans="1:11" s="2" customFormat="1" ht="63.75" outlineLevel="1">
      <c r="A338" s="246" t="s">
        <v>551</v>
      </c>
      <c r="B338" s="310" t="s">
        <v>1130</v>
      </c>
      <c r="C338" s="165" t="s">
        <v>295</v>
      </c>
      <c r="D338" s="130" t="s">
        <v>54</v>
      </c>
      <c r="E338" s="371">
        <f>G8*126</f>
        <v>126</v>
      </c>
      <c r="F338" s="263"/>
      <c r="G338" s="371">
        <f>G8*12.6</f>
        <v>12.6</v>
      </c>
      <c r="H338" s="233" t="s">
        <v>66</v>
      </c>
      <c r="I338" s="5"/>
    </row>
    <row r="339" spans="1:11" s="2" customFormat="1" ht="63.75" outlineLevel="1">
      <c r="A339" s="246" t="s">
        <v>552</v>
      </c>
      <c r="B339" s="310" t="s">
        <v>1131</v>
      </c>
      <c r="C339" s="165" t="s">
        <v>297</v>
      </c>
      <c r="D339" s="130" t="s">
        <v>54</v>
      </c>
      <c r="E339" s="371">
        <f>G8*151</f>
        <v>151</v>
      </c>
      <c r="F339" s="263"/>
      <c r="G339" s="371">
        <f>G8*15.1</f>
        <v>15.1</v>
      </c>
      <c r="H339" s="233" t="s">
        <v>66</v>
      </c>
      <c r="I339" s="5"/>
    </row>
    <row r="340" spans="1:11" s="2" customFormat="1" ht="84.75" customHeight="1" outlineLevel="1">
      <c r="A340" s="246" t="s">
        <v>553</v>
      </c>
      <c r="B340" s="133" t="s">
        <v>1132</v>
      </c>
      <c r="C340" s="133" t="s">
        <v>63</v>
      </c>
      <c r="D340" s="135" t="s">
        <v>54</v>
      </c>
      <c r="E340" s="264">
        <f>G8*210</f>
        <v>210</v>
      </c>
      <c r="F340" s="263"/>
      <c r="G340" s="264">
        <f>G8*23.1</f>
        <v>23.1</v>
      </c>
      <c r="H340" s="152" t="s">
        <v>830</v>
      </c>
      <c r="I340" s="5"/>
      <c r="J340" s="9"/>
    </row>
    <row r="341" spans="1:11" s="2" customFormat="1" ht="124.5" customHeight="1" outlineLevel="1">
      <c r="A341" s="246" t="s">
        <v>731</v>
      </c>
      <c r="B341" s="133" t="s">
        <v>1133</v>
      </c>
      <c r="C341" s="133" t="s">
        <v>1121</v>
      </c>
      <c r="D341" s="135" t="s">
        <v>54</v>
      </c>
      <c r="E341" s="264">
        <f>G8*930.68</f>
        <v>930.68</v>
      </c>
      <c r="F341" s="263"/>
      <c r="G341" s="264">
        <f>G8*77.06</f>
        <v>77.06</v>
      </c>
      <c r="H341" s="152" t="s">
        <v>831</v>
      </c>
      <c r="I341" s="5"/>
      <c r="J341" s="10"/>
    </row>
    <row r="342" spans="1:11" s="2" customFormat="1" ht="82.5" customHeight="1" outlineLevel="1">
      <c r="A342" s="246" t="s">
        <v>732</v>
      </c>
      <c r="B342" s="133" t="s">
        <v>1134</v>
      </c>
      <c r="C342" s="133" t="s">
        <v>63</v>
      </c>
      <c r="D342" s="135" t="s">
        <v>54</v>
      </c>
      <c r="E342" s="136">
        <f>G8*49.52</f>
        <v>49.52</v>
      </c>
      <c r="F342" s="136"/>
      <c r="G342" s="76">
        <f>G8*3.42</f>
        <v>3.42</v>
      </c>
      <c r="H342" s="152" t="s">
        <v>832</v>
      </c>
      <c r="I342" s="21"/>
      <c r="J342" s="11"/>
      <c r="K342" s="11"/>
    </row>
    <row r="343" spans="1:11" s="2" customFormat="1" ht="83.25" customHeight="1" outlineLevel="1">
      <c r="A343" s="246" t="s">
        <v>733</v>
      </c>
      <c r="B343" s="133" t="s">
        <v>1135</v>
      </c>
      <c r="C343" s="133" t="s">
        <v>63</v>
      </c>
      <c r="D343" s="135" t="s">
        <v>54</v>
      </c>
      <c r="E343" s="136">
        <f>G8*37.15</f>
        <v>37.15</v>
      </c>
      <c r="F343" s="136"/>
      <c r="G343" s="76">
        <f>G8*3.42</f>
        <v>3.42</v>
      </c>
      <c r="H343" s="187" t="s">
        <v>832</v>
      </c>
      <c r="I343" s="5"/>
    </row>
    <row r="344" spans="1:11" s="2" customFormat="1" ht="52.15" customHeight="1" outlineLevel="1">
      <c r="A344" s="401" t="s">
        <v>848</v>
      </c>
      <c r="B344" s="402"/>
      <c r="C344" s="402"/>
      <c r="D344" s="402"/>
      <c r="E344" s="402"/>
      <c r="F344" s="402"/>
      <c r="G344" s="402"/>
      <c r="H344" s="402"/>
      <c r="I344" s="5"/>
    </row>
    <row r="345" spans="1:11" s="2" customFormat="1" ht="26.25" customHeight="1">
      <c r="A345" s="378" t="s">
        <v>433</v>
      </c>
      <c r="B345" s="378"/>
      <c r="C345" s="378"/>
      <c r="D345" s="63"/>
      <c r="E345" s="265"/>
      <c r="F345" s="40"/>
      <c r="G345" s="40"/>
      <c r="H345" s="266"/>
      <c r="I345" s="5"/>
    </row>
    <row r="346" spans="1:11" s="2" customFormat="1" ht="25.5" customHeight="1" outlineLevel="1">
      <c r="A346" s="400" t="s">
        <v>109</v>
      </c>
      <c r="B346" s="400"/>
      <c r="C346" s="400"/>
      <c r="D346" s="212"/>
      <c r="E346" s="267"/>
      <c r="F346" s="268"/>
      <c r="G346" s="268"/>
      <c r="H346" s="269"/>
      <c r="I346" s="5"/>
    </row>
    <row r="347" spans="1:11" s="2" customFormat="1" ht="242.25" outlineLevel="1">
      <c r="A347" s="309" t="s">
        <v>434</v>
      </c>
      <c r="B347" s="166" t="s">
        <v>110</v>
      </c>
      <c r="C347" s="166" t="s">
        <v>1422</v>
      </c>
      <c r="D347" s="135" t="s">
        <v>111</v>
      </c>
      <c r="E347" s="136">
        <f>G8*9416.25</f>
        <v>9416.25</v>
      </c>
      <c r="F347" s="76"/>
      <c r="G347" s="76">
        <f>G8*9416.25</f>
        <v>9416.25</v>
      </c>
      <c r="H347" s="152" t="s">
        <v>120</v>
      </c>
      <c r="I347" s="5"/>
    </row>
    <row r="348" spans="1:11" s="2" customFormat="1" ht="76.5" outlineLevel="1">
      <c r="A348" s="309" t="s">
        <v>435</v>
      </c>
      <c r="B348" s="166" t="s">
        <v>74</v>
      </c>
      <c r="C348" s="166" t="s">
        <v>106</v>
      </c>
      <c r="D348" s="135" t="s">
        <v>37</v>
      </c>
      <c r="E348" s="136">
        <f>G8*13492.88</f>
        <v>13492.88</v>
      </c>
      <c r="F348" s="76"/>
      <c r="G348" s="76">
        <f>G8*13492.88</f>
        <v>13492.88</v>
      </c>
      <c r="H348" s="152" t="s">
        <v>144</v>
      </c>
      <c r="I348" s="5"/>
    </row>
    <row r="349" spans="1:11" s="2" customFormat="1" ht="102" outlineLevel="1">
      <c r="A349" s="309" t="s">
        <v>436</v>
      </c>
      <c r="B349" s="166" t="s">
        <v>112</v>
      </c>
      <c r="C349" s="166" t="s">
        <v>113</v>
      </c>
      <c r="D349" s="135" t="s">
        <v>111</v>
      </c>
      <c r="E349" s="136">
        <f>G8*5467.5</f>
        <v>5467.5</v>
      </c>
      <c r="F349" s="76"/>
      <c r="G349" s="76">
        <f>G8*5467.5</f>
        <v>5467.5</v>
      </c>
      <c r="H349" s="152"/>
      <c r="I349" s="5"/>
    </row>
    <row r="350" spans="1:11" s="2" customFormat="1" ht="140.25" outlineLevel="1">
      <c r="A350" s="309" t="s">
        <v>437</v>
      </c>
      <c r="B350" s="166" t="s">
        <v>580</v>
      </c>
      <c r="C350" s="166" t="s">
        <v>114</v>
      </c>
      <c r="D350" s="135" t="s">
        <v>111</v>
      </c>
      <c r="E350" s="136">
        <f>G8*15052.5</f>
        <v>15052.5</v>
      </c>
      <c r="F350" s="76"/>
      <c r="G350" s="76">
        <f>G8*15052.5</f>
        <v>15052.5</v>
      </c>
      <c r="H350" s="152"/>
      <c r="I350" s="5"/>
    </row>
    <row r="351" spans="1:11" s="2" customFormat="1" ht="89.25" outlineLevel="1">
      <c r="A351" s="309" t="s">
        <v>438</v>
      </c>
      <c r="B351" s="166" t="s">
        <v>1136</v>
      </c>
      <c r="C351" s="166" t="s">
        <v>1137</v>
      </c>
      <c r="D351" s="135" t="s">
        <v>111</v>
      </c>
      <c r="E351" s="136">
        <f>G8*19845</f>
        <v>19845</v>
      </c>
      <c r="F351" s="76"/>
      <c r="G351" s="76">
        <f>G8*19845</f>
        <v>19845</v>
      </c>
      <c r="H351" s="152"/>
      <c r="I351" s="5"/>
    </row>
    <row r="352" spans="1:11" s="2" customFormat="1" ht="89.25" outlineLevel="1">
      <c r="A352" s="309" t="s">
        <v>439</v>
      </c>
      <c r="B352" s="166" t="s">
        <v>1138</v>
      </c>
      <c r="C352" s="166" t="s">
        <v>115</v>
      </c>
      <c r="D352" s="135" t="s">
        <v>111</v>
      </c>
      <c r="E352" s="136">
        <f>G8*44226</f>
        <v>44226</v>
      </c>
      <c r="F352" s="76"/>
      <c r="G352" s="76">
        <f>G8*44226</f>
        <v>44226</v>
      </c>
      <c r="H352" s="152" t="s">
        <v>581</v>
      </c>
      <c r="I352" s="5"/>
    </row>
    <row r="353" spans="1:9" s="2" customFormat="1" ht="153.75" outlineLevel="1">
      <c r="A353" s="309" t="s">
        <v>440</v>
      </c>
      <c r="B353" s="166" t="s">
        <v>116</v>
      </c>
      <c r="C353" s="270" t="s">
        <v>117</v>
      </c>
      <c r="D353" s="135" t="s">
        <v>111</v>
      </c>
      <c r="E353" s="136">
        <f>G8*30618</f>
        <v>30618</v>
      </c>
      <c r="F353" s="76"/>
      <c r="G353" s="76">
        <f>G8*30618</f>
        <v>30618</v>
      </c>
      <c r="H353" s="152" t="s">
        <v>581</v>
      </c>
      <c r="I353" s="5"/>
    </row>
    <row r="354" spans="1:9" s="2" customFormat="1" ht="153" outlineLevel="1">
      <c r="A354" s="309" t="s">
        <v>441</v>
      </c>
      <c r="B354" s="166" t="s">
        <v>38</v>
      </c>
      <c r="C354" s="166" t="s">
        <v>582</v>
      </c>
      <c r="D354" s="135" t="s">
        <v>37</v>
      </c>
      <c r="E354" s="136">
        <f>G8*5489.37</f>
        <v>5489.37</v>
      </c>
      <c r="F354" s="76"/>
      <c r="G354" s="76">
        <f>G8*5489.37</f>
        <v>5489.37</v>
      </c>
      <c r="H354" s="152" t="s">
        <v>121</v>
      </c>
      <c r="I354" s="5"/>
    </row>
    <row r="355" spans="1:9" s="2" customFormat="1" ht="25.5" customHeight="1" outlineLevel="1">
      <c r="A355" s="271" t="s">
        <v>118</v>
      </c>
      <c r="B355" s="272"/>
      <c r="C355" s="272"/>
      <c r="D355" s="273"/>
      <c r="E355" s="273"/>
      <c r="F355" s="273"/>
      <c r="G355" s="273"/>
      <c r="H355" s="273"/>
      <c r="I355" s="5"/>
    </row>
    <row r="356" spans="1:9" s="2" customFormat="1" ht="25.5" customHeight="1" outlineLevel="1">
      <c r="A356" s="274" t="s">
        <v>119</v>
      </c>
      <c r="B356" s="275"/>
      <c r="C356" s="275"/>
      <c r="D356" s="276"/>
      <c r="E356" s="276"/>
      <c r="F356" s="276"/>
      <c r="G356" s="276"/>
      <c r="H356" s="276"/>
      <c r="I356" s="5"/>
    </row>
    <row r="357" spans="1:9" s="2" customFormat="1" ht="84.6" customHeight="1" outlineLevel="1">
      <c r="A357" s="309" t="s">
        <v>442</v>
      </c>
      <c r="B357" s="133" t="s">
        <v>1139</v>
      </c>
      <c r="C357" s="133" t="s">
        <v>1143</v>
      </c>
      <c r="D357" s="105" t="s">
        <v>36</v>
      </c>
      <c r="E357" s="136">
        <f>G8*5003.69</f>
        <v>5003.6899999999996</v>
      </c>
      <c r="F357" s="136"/>
      <c r="G357" s="76">
        <v>0</v>
      </c>
      <c r="H357" s="277"/>
      <c r="I357" s="5"/>
    </row>
    <row r="358" spans="1:9" s="2" customFormat="1" ht="114.75" outlineLevel="1">
      <c r="A358" s="309" t="s">
        <v>443</v>
      </c>
      <c r="B358" s="133" t="s">
        <v>1140</v>
      </c>
      <c r="C358" s="133" t="s">
        <v>1144</v>
      </c>
      <c r="D358" s="105" t="s">
        <v>36</v>
      </c>
      <c r="E358" s="136">
        <f>G8*14653.58</f>
        <v>14653.58</v>
      </c>
      <c r="F358" s="136"/>
      <c r="G358" s="76">
        <v>0</v>
      </c>
      <c r="H358" s="277"/>
      <c r="I358" s="5"/>
    </row>
    <row r="359" spans="1:9" s="2" customFormat="1" ht="63.75" outlineLevel="1">
      <c r="A359" s="309" t="s">
        <v>444</v>
      </c>
      <c r="B359" s="133" t="s">
        <v>1141</v>
      </c>
      <c r="C359" s="133" t="s">
        <v>1143</v>
      </c>
      <c r="D359" s="105" t="s">
        <v>36</v>
      </c>
      <c r="E359" s="136">
        <f>G8*6084.92</f>
        <v>6084.92</v>
      </c>
      <c r="F359" s="136"/>
      <c r="G359" s="76">
        <v>0</v>
      </c>
      <c r="H359" s="277"/>
      <c r="I359" s="5"/>
    </row>
    <row r="360" spans="1:9" s="2" customFormat="1" ht="114.75" outlineLevel="1">
      <c r="A360" s="309" t="s">
        <v>445</v>
      </c>
      <c r="B360" s="133" t="s">
        <v>1142</v>
      </c>
      <c r="C360" s="133" t="s">
        <v>1144</v>
      </c>
      <c r="D360" s="105" t="s">
        <v>36</v>
      </c>
      <c r="E360" s="136">
        <f>G8*14956.12</f>
        <v>14956.12</v>
      </c>
      <c r="F360" s="136"/>
      <c r="G360" s="76">
        <v>0</v>
      </c>
      <c r="H360" s="277"/>
      <c r="I360" s="5"/>
    </row>
    <row r="361" spans="1:9" s="2" customFormat="1" ht="69" customHeight="1" outlineLevel="1">
      <c r="A361" s="309" t="s">
        <v>446</v>
      </c>
      <c r="B361" s="133" t="s">
        <v>107</v>
      </c>
      <c r="C361" s="133" t="s">
        <v>122</v>
      </c>
      <c r="D361" s="105" t="s">
        <v>40</v>
      </c>
      <c r="E361" s="136">
        <f>G8*22198.76</f>
        <v>22198.76</v>
      </c>
      <c r="F361" s="136"/>
      <c r="G361" s="76">
        <v>0</v>
      </c>
      <c r="H361" s="277"/>
      <c r="I361" s="5"/>
    </row>
    <row r="362" spans="1:9" s="2" customFormat="1" ht="33" customHeight="1" outlineLevel="1">
      <c r="A362" s="274" t="s">
        <v>757</v>
      </c>
      <c r="B362" s="276"/>
      <c r="C362" s="276"/>
      <c r="D362" s="276"/>
      <c r="E362" s="276"/>
      <c r="F362" s="276"/>
      <c r="G362" s="276"/>
      <c r="H362" s="276"/>
      <c r="I362" s="5"/>
    </row>
    <row r="363" spans="1:9" s="2" customFormat="1" ht="293.25" outlineLevel="1">
      <c r="A363" s="309" t="s">
        <v>447</v>
      </c>
      <c r="B363" s="133" t="s">
        <v>39</v>
      </c>
      <c r="C363" s="133" t="s">
        <v>1146</v>
      </c>
      <c r="D363" s="105" t="s">
        <v>111</v>
      </c>
      <c r="E363" s="136">
        <f>G8*16441.66</f>
        <v>16441.66</v>
      </c>
      <c r="F363" s="136"/>
      <c r="G363" s="76">
        <v>0</v>
      </c>
      <c r="H363" s="277"/>
      <c r="I363" s="5"/>
    </row>
    <row r="364" spans="1:9" s="2" customFormat="1" ht="140.25" outlineLevel="1">
      <c r="A364" s="309" t="s">
        <v>448</v>
      </c>
      <c r="B364" s="133" t="s">
        <v>1145</v>
      </c>
      <c r="C364" s="133" t="s">
        <v>1147</v>
      </c>
      <c r="D364" s="105" t="s">
        <v>111</v>
      </c>
      <c r="E364" s="136">
        <f>G8*9023.4</f>
        <v>9023.4</v>
      </c>
      <c r="F364" s="136"/>
      <c r="G364" s="76">
        <v>0</v>
      </c>
      <c r="H364" s="277"/>
      <c r="I364" s="5"/>
    </row>
    <row r="365" spans="1:9" s="2" customFormat="1" ht="25.5" customHeight="1" outlineLevel="1">
      <c r="A365" s="274" t="s">
        <v>141</v>
      </c>
      <c r="B365" s="276"/>
      <c r="C365" s="276"/>
      <c r="D365" s="276"/>
      <c r="E365" s="276"/>
      <c r="F365" s="276"/>
      <c r="G365" s="276"/>
      <c r="H365" s="276"/>
      <c r="I365" s="5"/>
    </row>
    <row r="366" spans="1:9" s="2" customFormat="1" ht="51" outlineLevel="1">
      <c r="A366" s="278" t="s">
        <v>449</v>
      </c>
      <c r="B366" s="179" t="s">
        <v>8</v>
      </c>
      <c r="C366" s="179" t="s">
        <v>1437</v>
      </c>
      <c r="D366" s="279"/>
      <c r="E366" s="280"/>
      <c r="F366" s="281"/>
      <c r="G366" s="281"/>
      <c r="H366" s="281"/>
      <c r="I366" s="5"/>
    </row>
    <row r="367" spans="1:9" s="2" customFormat="1" ht="25.5" outlineLevel="1">
      <c r="A367" s="159" t="s">
        <v>635</v>
      </c>
      <c r="B367" s="166" t="s">
        <v>1148</v>
      </c>
      <c r="C367" s="166"/>
      <c r="D367" s="135" t="s">
        <v>7</v>
      </c>
      <c r="E367" s="282">
        <f>G8*132684.75</f>
        <v>132684.75</v>
      </c>
      <c r="F367" s="76"/>
      <c r="G367" s="76">
        <f>G8*22556.41</f>
        <v>22556.41</v>
      </c>
      <c r="H367" s="277"/>
      <c r="I367" s="5"/>
    </row>
    <row r="368" spans="1:9" s="2" customFormat="1" ht="25.5" outlineLevel="1">
      <c r="A368" s="159" t="s">
        <v>636</v>
      </c>
      <c r="B368" s="166" t="s">
        <v>1149</v>
      </c>
      <c r="C368" s="133"/>
      <c r="D368" s="135" t="s">
        <v>7</v>
      </c>
      <c r="E368" s="282">
        <f>G8*168810.75</f>
        <v>168810.75</v>
      </c>
      <c r="F368" s="76"/>
      <c r="G368" s="76">
        <f>G8*32074.04</f>
        <v>32074.04</v>
      </c>
      <c r="H368" s="277"/>
      <c r="I368" s="5"/>
    </row>
    <row r="369" spans="1:9" s="2" customFormat="1" ht="238.15" customHeight="1" outlineLevel="1">
      <c r="A369" s="309" t="s">
        <v>450</v>
      </c>
      <c r="B369" s="133" t="s">
        <v>142</v>
      </c>
      <c r="C369" s="133" t="s">
        <v>583</v>
      </c>
      <c r="D369" s="135" t="s">
        <v>35</v>
      </c>
      <c r="E369" s="282">
        <f>G8*92738.93</f>
        <v>92738.93</v>
      </c>
      <c r="F369" s="76"/>
      <c r="G369" s="76">
        <f>G8*13910.84</f>
        <v>13910.84</v>
      </c>
      <c r="H369" s="277"/>
      <c r="I369" s="5"/>
    </row>
    <row r="370" spans="1:9" s="2" customFormat="1" ht="25.5" customHeight="1" outlineLevel="1">
      <c r="A370" s="274" t="s">
        <v>125</v>
      </c>
      <c r="B370" s="276"/>
      <c r="C370" s="276"/>
      <c r="D370" s="276"/>
      <c r="E370" s="276"/>
      <c r="F370" s="276"/>
      <c r="G370" s="276"/>
      <c r="H370" s="276"/>
      <c r="I370" s="5"/>
    </row>
    <row r="371" spans="1:9" s="2" customFormat="1" ht="51" outlineLevel="1">
      <c r="A371" s="278" t="s">
        <v>451</v>
      </c>
      <c r="B371" s="179" t="s">
        <v>127</v>
      </c>
      <c r="C371" s="179" t="s">
        <v>128</v>
      </c>
      <c r="D371" s="212"/>
      <c r="E371" s="283"/>
      <c r="F371" s="283"/>
      <c r="G371" s="283"/>
      <c r="H371" s="283"/>
      <c r="I371" s="405"/>
    </row>
    <row r="372" spans="1:9" s="2" customFormat="1" ht="25.5" outlineLevel="1">
      <c r="A372" s="159" t="s">
        <v>637</v>
      </c>
      <c r="B372" s="166" t="s">
        <v>1153</v>
      </c>
      <c r="C372" s="166"/>
      <c r="D372" s="135" t="s">
        <v>7</v>
      </c>
      <c r="E372" s="282">
        <f>G8*134325</f>
        <v>134325</v>
      </c>
      <c r="F372" s="136"/>
      <c r="G372" s="76">
        <f>G8*20148.75</f>
        <v>20148.75</v>
      </c>
      <c r="H372" s="277"/>
      <c r="I372" s="405"/>
    </row>
    <row r="373" spans="1:9" s="2" customFormat="1" ht="25.5" outlineLevel="1">
      <c r="A373" s="159" t="s">
        <v>638</v>
      </c>
      <c r="B373" s="166" t="s">
        <v>1154</v>
      </c>
      <c r="C373" s="166"/>
      <c r="D373" s="135" t="s">
        <v>7</v>
      </c>
      <c r="E373" s="282">
        <f>G8*256500</f>
        <v>256500</v>
      </c>
      <c r="F373" s="136"/>
      <c r="G373" s="76">
        <f>G8*38475</f>
        <v>38475</v>
      </c>
      <c r="H373" s="277"/>
      <c r="I373" s="405"/>
    </row>
    <row r="374" spans="1:9" s="2" customFormat="1" ht="25.5" outlineLevel="1">
      <c r="A374" s="159" t="s">
        <v>639</v>
      </c>
      <c r="B374" s="166" t="s">
        <v>1151</v>
      </c>
      <c r="C374" s="166"/>
      <c r="D374" s="135" t="s">
        <v>7</v>
      </c>
      <c r="E374" s="282">
        <f>G8*283500</f>
        <v>283500</v>
      </c>
      <c r="F374" s="136"/>
      <c r="G374" s="76">
        <f>G8*42525</f>
        <v>42525</v>
      </c>
      <c r="H374" s="277"/>
      <c r="I374" s="405"/>
    </row>
    <row r="375" spans="1:9" s="2" customFormat="1" ht="25.5" outlineLevel="1">
      <c r="A375" s="159" t="s">
        <v>640</v>
      </c>
      <c r="B375" s="166" t="s">
        <v>1152</v>
      </c>
      <c r="C375" s="166"/>
      <c r="D375" s="135" t="s">
        <v>7</v>
      </c>
      <c r="E375" s="282">
        <f>G8*310500</f>
        <v>310500</v>
      </c>
      <c r="F375" s="136"/>
      <c r="G375" s="76">
        <f>G8*46575</f>
        <v>46575</v>
      </c>
      <c r="H375" s="277"/>
      <c r="I375" s="405"/>
    </row>
    <row r="376" spans="1:9" s="2" customFormat="1" ht="38.25" outlineLevel="1">
      <c r="A376" s="309" t="s">
        <v>452</v>
      </c>
      <c r="B376" s="166" t="s">
        <v>130</v>
      </c>
      <c r="C376" s="166" t="s">
        <v>1150</v>
      </c>
      <c r="D376" s="135" t="s">
        <v>7</v>
      </c>
      <c r="E376" s="282">
        <f>G8*36159.75</f>
        <v>36159.75</v>
      </c>
      <c r="F376" s="136"/>
      <c r="G376" s="76">
        <f>G8*4700.77</f>
        <v>4700.7700000000004</v>
      </c>
      <c r="H376" s="277"/>
      <c r="I376" s="405"/>
    </row>
    <row r="377" spans="1:9" s="2" customFormat="1" ht="25.5" customHeight="1" outlineLevel="1">
      <c r="A377" s="284" t="s">
        <v>131</v>
      </c>
      <c r="B377" s="285"/>
      <c r="C377" s="285"/>
      <c r="D377" s="285"/>
      <c r="E377" s="285"/>
      <c r="F377" s="285"/>
      <c r="G377" s="285"/>
      <c r="H377" s="285"/>
      <c r="I377" s="5"/>
    </row>
    <row r="378" spans="1:9" s="2" customFormat="1" ht="56.25" outlineLevel="1">
      <c r="A378" s="309" t="s">
        <v>453</v>
      </c>
      <c r="B378" s="166" t="s">
        <v>745</v>
      </c>
      <c r="C378" s="166" t="s">
        <v>1159</v>
      </c>
      <c r="D378" s="133" t="s">
        <v>36</v>
      </c>
      <c r="E378" s="286" t="s">
        <v>87</v>
      </c>
      <c r="F378" s="136"/>
      <c r="G378" s="76" t="s">
        <v>66</v>
      </c>
      <c r="H378" s="133" t="s">
        <v>66</v>
      </c>
      <c r="I378" s="5"/>
    </row>
    <row r="379" spans="1:9" s="2" customFormat="1" ht="38.25" outlineLevel="1">
      <c r="A379" s="309" t="s">
        <v>454</v>
      </c>
      <c r="B379" s="179" t="s">
        <v>133</v>
      </c>
      <c r="C379" s="179" t="s">
        <v>136</v>
      </c>
      <c r="D379" s="140"/>
      <c r="E379" s="287"/>
      <c r="F379" s="287"/>
      <c r="G379" s="287"/>
      <c r="H379" s="155" t="s">
        <v>139</v>
      </c>
      <c r="I379" s="5"/>
    </row>
    <row r="380" spans="1:9" s="2" customFormat="1" ht="18.75" outlineLevel="1">
      <c r="A380" s="159" t="s">
        <v>641</v>
      </c>
      <c r="B380" s="166" t="s">
        <v>1156</v>
      </c>
      <c r="C380" s="166"/>
      <c r="D380" s="133" t="s">
        <v>137</v>
      </c>
      <c r="E380" s="282">
        <f>G8*10206</f>
        <v>10206</v>
      </c>
      <c r="F380" s="136"/>
      <c r="G380" s="76">
        <v>0</v>
      </c>
      <c r="H380" s="152"/>
      <c r="I380" s="5"/>
    </row>
    <row r="381" spans="1:9" s="2" customFormat="1" ht="15.75" customHeight="1" outlineLevel="1">
      <c r="A381" s="159" t="s">
        <v>642</v>
      </c>
      <c r="B381" s="166" t="s">
        <v>1157</v>
      </c>
      <c r="C381" s="166"/>
      <c r="D381" s="133" t="s">
        <v>137</v>
      </c>
      <c r="E381" s="282">
        <f>G8*13608</f>
        <v>13608</v>
      </c>
      <c r="F381" s="136"/>
      <c r="G381" s="76">
        <v>0</v>
      </c>
      <c r="H381" s="152"/>
      <c r="I381" s="5"/>
    </row>
    <row r="382" spans="1:9" s="2" customFormat="1" ht="18.75" outlineLevel="1">
      <c r="A382" s="159" t="s">
        <v>643</v>
      </c>
      <c r="B382" s="166" t="s">
        <v>1158</v>
      </c>
      <c r="C382" s="166"/>
      <c r="D382" s="133" t="s">
        <v>137</v>
      </c>
      <c r="E382" s="282">
        <f>G8*27216</f>
        <v>27216</v>
      </c>
      <c r="F382" s="136"/>
      <c r="G382" s="76">
        <v>0</v>
      </c>
      <c r="H382" s="152"/>
      <c r="I382" s="5"/>
    </row>
    <row r="383" spans="1:9" s="2" customFormat="1" ht="38.25" outlineLevel="1">
      <c r="A383" s="309" t="s">
        <v>455</v>
      </c>
      <c r="B383" s="166" t="s">
        <v>135</v>
      </c>
      <c r="C383" s="166" t="s">
        <v>138</v>
      </c>
      <c r="D383" s="133" t="s">
        <v>137</v>
      </c>
      <c r="E383" s="282">
        <f>G8*2353.14</f>
        <v>2353.14</v>
      </c>
      <c r="F383" s="136"/>
      <c r="G383" s="76">
        <v>0</v>
      </c>
      <c r="H383" s="152" t="s">
        <v>1155</v>
      </c>
      <c r="I383" s="5"/>
    </row>
    <row r="384" spans="1:9" s="2" customFormat="1" ht="26.25" customHeight="1">
      <c r="A384" s="378" t="s">
        <v>752</v>
      </c>
      <c r="B384" s="378"/>
      <c r="C384" s="378"/>
      <c r="D384" s="288"/>
      <c r="E384" s="289"/>
      <c r="F384" s="289"/>
      <c r="G384" s="289"/>
      <c r="H384" s="289"/>
      <c r="I384" s="5"/>
    </row>
    <row r="385" spans="1:9" s="2" customFormat="1" ht="25.5" customHeight="1" outlineLevel="1">
      <c r="A385" s="406" t="s">
        <v>146</v>
      </c>
      <c r="B385" s="406"/>
      <c r="C385" s="406"/>
      <c r="D385" s="407"/>
      <c r="E385" s="407"/>
      <c r="F385" s="407"/>
      <c r="G385" s="308"/>
      <c r="H385" s="308"/>
      <c r="I385" s="5"/>
    </row>
    <row r="386" spans="1:9" s="2" customFormat="1" ht="39.6" customHeight="1" outlineLevel="1">
      <c r="A386" s="309" t="s">
        <v>456</v>
      </c>
      <c r="B386" s="133" t="s">
        <v>1160</v>
      </c>
      <c r="C386" s="133" t="s">
        <v>147</v>
      </c>
      <c r="D386" s="135" t="s">
        <v>148</v>
      </c>
      <c r="E386" s="136">
        <f>G8*426.94</f>
        <v>426.94</v>
      </c>
      <c r="F386" s="136"/>
      <c r="G386" s="290">
        <v>0</v>
      </c>
      <c r="H386" s="152" t="s">
        <v>597</v>
      </c>
      <c r="I386" s="5"/>
    </row>
    <row r="387" spans="1:9" s="2" customFormat="1" ht="48.6" customHeight="1" outlineLevel="1">
      <c r="A387" s="309" t="s">
        <v>457</v>
      </c>
      <c r="B387" s="133" t="s">
        <v>149</v>
      </c>
      <c r="C387" s="133" t="s">
        <v>150</v>
      </c>
      <c r="D387" s="135" t="s">
        <v>151</v>
      </c>
      <c r="E387" s="136">
        <f>G8*2215.89</f>
        <v>2215.89</v>
      </c>
      <c r="F387" s="136"/>
      <c r="G387" s="290">
        <v>0</v>
      </c>
      <c r="H387" s="152" t="s">
        <v>597</v>
      </c>
      <c r="I387" s="5"/>
    </row>
    <row r="388" spans="1:9" s="2" customFormat="1" ht="25.5" customHeight="1" outlineLevel="1">
      <c r="A388" s="274" t="s">
        <v>152</v>
      </c>
      <c r="B388" s="291"/>
      <c r="C388" s="291"/>
      <c r="D388" s="291"/>
      <c r="E388" s="291"/>
      <c r="F388" s="291"/>
      <c r="G388" s="291"/>
      <c r="H388" s="291"/>
      <c r="I388" s="5"/>
    </row>
    <row r="389" spans="1:9" s="2" customFormat="1" ht="34.9" customHeight="1" outlineLevel="1">
      <c r="A389" s="309" t="s">
        <v>559</v>
      </c>
      <c r="B389" s="133" t="s">
        <v>1166</v>
      </c>
      <c r="C389" s="133" t="s">
        <v>1161</v>
      </c>
      <c r="D389" s="135" t="s">
        <v>89</v>
      </c>
      <c r="E389" s="136">
        <f>G8*160.89</f>
        <v>160.88999999999999</v>
      </c>
      <c r="F389" s="76"/>
      <c r="G389" s="290">
        <v>0</v>
      </c>
      <c r="H389" s="152" t="s">
        <v>597</v>
      </c>
      <c r="I389" s="5"/>
    </row>
    <row r="390" spans="1:9" s="2" customFormat="1" ht="37.15" customHeight="1" outlineLevel="1">
      <c r="A390" s="309" t="s">
        <v>560</v>
      </c>
      <c r="B390" s="133" t="s">
        <v>1167</v>
      </c>
      <c r="C390" s="133" t="s">
        <v>1162</v>
      </c>
      <c r="D390" s="135" t="s">
        <v>89</v>
      </c>
      <c r="E390" s="136">
        <f>G8*269.8</f>
        <v>269.8</v>
      </c>
      <c r="F390" s="76"/>
      <c r="G390" s="290">
        <v>0</v>
      </c>
      <c r="H390" s="152" t="s">
        <v>597</v>
      </c>
      <c r="I390" s="5"/>
    </row>
    <row r="391" spans="1:9" s="2" customFormat="1" ht="43.5" customHeight="1" outlineLevel="1">
      <c r="A391" s="309" t="s">
        <v>561</v>
      </c>
      <c r="B391" s="292" t="s">
        <v>1168</v>
      </c>
      <c r="C391" s="133" t="s">
        <v>1162</v>
      </c>
      <c r="D391" s="94" t="s">
        <v>89</v>
      </c>
      <c r="E391" s="136">
        <f>G8*596.38</f>
        <v>596.38</v>
      </c>
      <c r="F391" s="76"/>
      <c r="G391" s="290">
        <v>0</v>
      </c>
      <c r="H391" s="152" t="s">
        <v>597</v>
      </c>
      <c r="I391" s="5"/>
    </row>
    <row r="392" spans="1:9" s="2" customFormat="1" ht="45.6" customHeight="1" outlineLevel="1">
      <c r="A392" s="309" t="s">
        <v>562</v>
      </c>
      <c r="B392" s="133" t="s">
        <v>153</v>
      </c>
      <c r="C392" s="133" t="s">
        <v>154</v>
      </c>
      <c r="D392" s="135" t="s">
        <v>89</v>
      </c>
      <c r="E392" s="136">
        <f>G8*15</f>
        <v>15</v>
      </c>
      <c r="F392" s="76"/>
      <c r="G392" s="290">
        <v>0</v>
      </c>
      <c r="H392" s="152" t="s">
        <v>597</v>
      </c>
      <c r="I392" s="5"/>
    </row>
    <row r="393" spans="1:9" s="2" customFormat="1" ht="35.450000000000003" customHeight="1" outlineLevel="1">
      <c r="A393" s="309" t="s">
        <v>563</v>
      </c>
      <c r="B393" s="133" t="s">
        <v>1169</v>
      </c>
      <c r="C393" s="133" t="s">
        <v>1163</v>
      </c>
      <c r="D393" s="135" t="s">
        <v>89</v>
      </c>
      <c r="E393" s="136">
        <f>G8*390.83</f>
        <v>390.83</v>
      </c>
      <c r="F393" s="76"/>
      <c r="G393" s="290">
        <v>0</v>
      </c>
      <c r="H393" s="152" t="s">
        <v>597</v>
      </c>
      <c r="I393" s="5"/>
    </row>
    <row r="394" spans="1:9" s="2" customFormat="1" ht="36.6" customHeight="1" outlineLevel="1">
      <c r="A394" s="309" t="s">
        <v>564</v>
      </c>
      <c r="B394" s="133" t="s">
        <v>1170</v>
      </c>
      <c r="C394" s="133" t="s">
        <v>1164</v>
      </c>
      <c r="D394" s="135" t="s">
        <v>89</v>
      </c>
      <c r="E394" s="136">
        <f>G8*53.19</f>
        <v>53.19</v>
      </c>
      <c r="F394" s="76"/>
      <c r="G394" s="290">
        <v>0</v>
      </c>
      <c r="H394" s="152" t="s">
        <v>597</v>
      </c>
      <c r="I394" s="5"/>
    </row>
    <row r="395" spans="1:9" s="2" customFormat="1" ht="25.5" outlineLevel="1">
      <c r="A395" s="309" t="s">
        <v>565</v>
      </c>
      <c r="B395" s="133" t="s">
        <v>155</v>
      </c>
      <c r="C395" s="133" t="s">
        <v>156</v>
      </c>
      <c r="D395" s="135" t="s">
        <v>89</v>
      </c>
      <c r="E395" s="136">
        <f>G8*20.39</f>
        <v>20.39</v>
      </c>
      <c r="F395" s="76"/>
      <c r="G395" s="290">
        <v>0</v>
      </c>
      <c r="H395" s="152" t="s">
        <v>597</v>
      </c>
      <c r="I395" s="5"/>
    </row>
    <row r="396" spans="1:9" s="2" customFormat="1" ht="60.6" customHeight="1" outlineLevel="1">
      <c r="A396" s="309" t="s">
        <v>566</v>
      </c>
      <c r="B396" s="133" t="s">
        <v>1171</v>
      </c>
      <c r="C396" s="133" t="s">
        <v>1165</v>
      </c>
      <c r="D396" s="135" t="s">
        <v>89</v>
      </c>
      <c r="E396" s="136">
        <f>G8*372.76</f>
        <v>372.76</v>
      </c>
      <c r="F396" s="76"/>
      <c r="G396" s="290">
        <v>0</v>
      </c>
      <c r="H396" s="152" t="s">
        <v>663</v>
      </c>
      <c r="I396" s="5"/>
    </row>
    <row r="397" spans="1:9" s="2" customFormat="1" ht="51" outlineLevel="1">
      <c r="A397" s="309" t="s">
        <v>681</v>
      </c>
      <c r="B397" s="133" t="s">
        <v>1172</v>
      </c>
      <c r="C397" s="133" t="s">
        <v>157</v>
      </c>
      <c r="D397" s="135" t="s">
        <v>89</v>
      </c>
      <c r="E397" s="136">
        <f>G8*744.17</f>
        <v>744.17</v>
      </c>
      <c r="F397" s="76"/>
      <c r="G397" s="290">
        <v>0</v>
      </c>
      <c r="H397" s="152" t="s">
        <v>663</v>
      </c>
      <c r="I397" s="5"/>
    </row>
    <row r="398" spans="1:9" s="2" customFormat="1" ht="26.25" customHeight="1" outlineLevel="1">
      <c r="A398" s="403" t="s">
        <v>158</v>
      </c>
      <c r="B398" s="403"/>
      <c r="C398" s="403"/>
      <c r="D398" s="293"/>
      <c r="E398" s="294"/>
      <c r="F398" s="294"/>
      <c r="G398" s="295"/>
      <c r="H398" s="295"/>
      <c r="I398" s="5"/>
    </row>
    <row r="399" spans="1:9" s="2" customFormat="1" ht="38.25" outlineLevel="1">
      <c r="A399" s="296" t="s">
        <v>567</v>
      </c>
      <c r="B399" s="297" t="s">
        <v>1174</v>
      </c>
      <c r="C399" s="298" t="s">
        <v>656</v>
      </c>
      <c r="D399" s="94" t="s">
        <v>89</v>
      </c>
      <c r="E399" s="262">
        <f>G8*41.59</f>
        <v>41.59</v>
      </c>
      <c r="F399" s="299"/>
      <c r="G399" s="290">
        <v>0</v>
      </c>
      <c r="H399" s="152" t="s">
        <v>597</v>
      </c>
      <c r="I399" s="5"/>
    </row>
    <row r="400" spans="1:9" s="2" customFormat="1" ht="30.6" customHeight="1" outlineLevel="1">
      <c r="A400" s="296" t="s">
        <v>568</v>
      </c>
      <c r="B400" s="297" t="s">
        <v>1175</v>
      </c>
      <c r="C400" s="297" t="s">
        <v>156</v>
      </c>
      <c r="D400" s="94" t="s">
        <v>89</v>
      </c>
      <c r="E400" s="262">
        <f>G8*14.02</f>
        <v>14.02</v>
      </c>
      <c r="F400" s="299"/>
      <c r="G400" s="290">
        <v>0</v>
      </c>
      <c r="H400" s="152" t="s">
        <v>597</v>
      </c>
      <c r="I400" s="5"/>
    </row>
    <row r="401" spans="1:9" s="2" customFormat="1" ht="57.6" customHeight="1" outlineLevel="1">
      <c r="A401" s="296" t="s">
        <v>569</v>
      </c>
      <c r="B401" s="297" t="s">
        <v>1176</v>
      </c>
      <c r="C401" s="297" t="s">
        <v>657</v>
      </c>
      <c r="D401" s="94" t="s">
        <v>89</v>
      </c>
      <c r="E401" s="262">
        <f>G8*65.62</f>
        <v>65.62</v>
      </c>
      <c r="F401" s="299"/>
      <c r="G401" s="290">
        <v>0</v>
      </c>
      <c r="H401" s="152" t="s">
        <v>597</v>
      </c>
      <c r="I401" s="5"/>
    </row>
    <row r="402" spans="1:9" s="2" customFormat="1" ht="63" customHeight="1" outlineLevel="1">
      <c r="A402" s="296" t="s">
        <v>570</v>
      </c>
      <c r="B402" s="297" t="s">
        <v>1177</v>
      </c>
      <c r="C402" s="297" t="s">
        <v>658</v>
      </c>
      <c r="D402" s="94" t="s">
        <v>89</v>
      </c>
      <c r="E402" s="262">
        <f>G8*118.45</f>
        <v>118.45</v>
      </c>
      <c r="F402" s="299"/>
      <c r="G402" s="290">
        <v>0</v>
      </c>
      <c r="H402" s="152" t="s">
        <v>597</v>
      </c>
      <c r="I402" s="5"/>
    </row>
    <row r="403" spans="1:9" s="2" customFormat="1" ht="66" customHeight="1" outlineLevel="1">
      <c r="A403" s="296" t="s">
        <v>571</v>
      </c>
      <c r="B403" s="292" t="s">
        <v>1178</v>
      </c>
      <c r="C403" s="297" t="s">
        <v>657</v>
      </c>
      <c r="D403" s="94" t="s">
        <v>89</v>
      </c>
      <c r="E403" s="136">
        <f>G8*209.21</f>
        <v>209.21</v>
      </c>
      <c r="F403" s="76"/>
      <c r="G403" s="290">
        <v>0</v>
      </c>
      <c r="H403" s="152" t="s">
        <v>597</v>
      </c>
      <c r="I403" s="5"/>
    </row>
    <row r="404" spans="1:9" s="2" customFormat="1" ht="59.45" customHeight="1" outlineLevel="1">
      <c r="A404" s="296" t="s">
        <v>572</v>
      </c>
      <c r="B404" s="292" t="s">
        <v>1179</v>
      </c>
      <c r="C404" s="297" t="s">
        <v>657</v>
      </c>
      <c r="D404" s="94" t="s">
        <v>89</v>
      </c>
      <c r="E404" s="136">
        <f>G8*322.99</f>
        <v>322.99</v>
      </c>
      <c r="F404" s="76"/>
      <c r="G404" s="290">
        <v>0</v>
      </c>
      <c r="H404" s="152" t="s">
        <v>597</v>
      </c>
      <c r="I404" s="5"/>
    </row>
    <row r="405" spans="1:9" s="2" customFormat="1" ht="60" customHeight="1" outlineLevel="1">
      <c r="A405" s="296" t="s">
        <v>573</v>
      </c>
      <c r="B405" s="292" t="s">
        <v>1180</v>
      </c>
      <c r="C405" s="297" t="s">
        <v>657</v>
      </c>
      <c r="D405" s="94" t="s">
        <v>89</v>
      </c>
      <c r="E405" s="136">
        <f>G8*632.07</f>
        <v>632.07000000000005</v>
      </c>
      <c r="F405" s="76"/>
      <c r="G405" s="290">
        <v>0</v>
      </c>
      <c r="H405" s="152" t="s">
        <v>597</v>
      </c>
      <c r="I405" s="5"/>
    </row>
    <row r="406" spans="1:9" s="2" customFormat="1" ht="59.45" customHeight="1" outlineLevel="1">
      <c r="A406" s="296" t="s">
        <v>574</v>
      </c>
      <c r="B406" s="292" t="s">
        <v>1173</v>
      </c>
      <c r="C406" s="297" t="s">
        <v>657</v>
      </c>
      <c r="D406" s="94" t="s">
        <v>89</v>
      </c>
      <c r="E406" s="136">
        <f>G8*1244.84</f>
        <v>1244.8399999999999</v>
      </c>
      <c r="F406" s="76"/>
      <c r="G406" s="290">
        <v>0</v>
      </c>
      <c r="H406" s="152" t="s">
        <v>597</v>
      </c>
      <c r="I406" s="5"/>
    </row>
    <row r="407" spans="1:9" s="2" customFormat="1" ht="61.9" customHeight="1" outlineLevel="1">
      <c r="A407" s="296" t="s">
        <v>575</v>
      </c>
      <c r="B407" s="292" t="s">
        <v>1181</v>
      </c>
      <c r="C407" s="297" t="s">
        <v>657</v>
      </c>
      <c r="D407" s="94" t="s">
        <v>89</v>
      </c>
      <c r="E407" s="136">
        <f>G8*1588.37</f>
        <v>1588.37</v>
      </c>
      <c r="F407" s="76"/>
      <c r="G407" s="290">
        <v>0</v>
      </c>
      <c r="H407" s="152" t="s">
        <v>597</v>
      </c>
      <c r="I407" s="5"/>
    </row>
    <row r="408" spans="1:9" s="2" customFormat="1" ht="31.5" outlineLevel="1">
      <c r="A408" s="296" t="s">
        <v>682</v>
      </c>
      <c r="B408" s="297" t="s">
        <v>1182</v>
      </c>
      <c r="C408" s="297" t="s">
        <v>156</v>
      </c>
      <c r="D408" s="94" t="s">
        <v>89</v>
      </c>
      <c r="E408" s="262">
        <f>G8*14.02</f>
        <v>14.02</v>
      </c>
      <c r="F408" s="299"/>
      <c r="G408" s="290">
        <v>0</v>
      </c>
      <c r="H408" s="152" t="s">
        <v>597</v>
      </c>
      <c r="I408" s="5"/>
    </row>
    <row r="409" spans="1:9" s="2" customFormat="1" ht="31.5" outlineLevel="1">
      <c r="A409" s="296" t="s">
        <v>683</v>
      </c>
      <c r="B409" s="297" t="s">
        <v>159</v>
      </c>
      <c r="C409" s="297" t="s">
        <v>160</v>
      </c>
      <c r="D409" s="94" t="s">
        <v>161</v>
      </c>
      <c r="E409" s="262">
        <f>G8*38.21</f>
        <v>38.21</v>
      </c>
      <c r="F409" s="299"/>
      <c r="G409" s="290">
        <v>0</v>
      </c>
      <c r="H409" s="152" t="s">
        <v>597</v>
      </c>
      <c r="I409" s="5"/>
    </row>
    <row r="410" spans="1:9" s="2" customFormat="1" ht="38.25" outlineLevel="1">
      <c r="A410" s="296" t="s">
        <v>684</v>
      </c>
      <c r="B410" s="297" t="s">
        <v>1183</v>
      </c>
      <c r="C410" s="297" t="s">
        <v>655</v>
      </c>
      <c r="D410" s="94" t="s">
        <v>162</v>
      </c>
      <c r="E410" s="262">
        <f>G8*54.14</f>
        <v>54.14</v>
      </c>
      <c r="F410" s="299"/>
      <c r="G410" s="290">
        <v>0</v>
      </c>
      <c r="H410" s="152" t="s">
        <v>597</v>
      </c>
      <c r="I410" s="5"/>
    </row>
    <row r="411" spans="1:9" s="2" customFormat="1" ht="63.75" outlineLevel="1">
      <c r="A411" s="296" t="s">
        <v>685</v>
      </c>
      <c r="B411" s="297" t="s">
        <v>1184</v>
      </c>
      <c r="C411" s="297" t="s">
        <v>659</v>
      </c>
      <c r="D411" s="94" t="s">
        <v>162</v>
      </c>
      <c r="E411" s="262">
        <f>G8*50.29</f>
        <v>50.29</v>
      </c>
      <c r="F411" s="299"/>
      <c r="G411" s="290">
        <v>0</v>
      </c>
      <c r="H411" s="152" t="s">
        <v>597</v>
      </c>
      <c r="I411" s="5"/>
    </row>
    <row r="412" spans="1:9" s="2" customFormat="1" ht="52.15" customHeight="1" outlineLevel="1">
      <c r="A412" s="296" t="s">
        <v>686</v>
      </c>
      <c r="B412" s="297" t="s">
        <v>1185</v>
      </c>
      <c r="C412" s="297" t="s">
        <v>660</v>
      </c>
      <c r="D412" s="94" t="s">
        <v>162</v>
      </c>
      <c r="E412" s="262">
        <f>G8*54.92</f>
        <v>54.92</v>
      </c>
      <c r="F412" s="299"/>
      <c r="G412" s="290">
        <v>0</v>
      </c>
      <c r="H412" s="152" t="s">
        <v>597</v>
      </c>
      <c r="I412" s="5"/>
    </row>
    <row r="413" spans="1:9" s="2" customFormat="1" ht="25.5" customHeight="1" outlineLevel="1">
      <c r="A413" s="403" t="s">
        <v>163</v>
      </c>
      <c r="B413" s="403"/>
      <c r="C413" s="403"/>
      <c r="D413" s="293"/>
      <c r="E413" s="295"/>
      <c r="F413" s="294"/>
      <c r="G413" s="295"/>
      <c r="H413" s="295"/>
      <c r="I413" s="5"/>
    </row>
    <row r="414" spans="1:9" s="2" customFormat="1" ht="51" outlineLevel="1">
      <c r="A414" s="408" t="s">
        <v>576</v>
      </c>
      <c r="B414" s="165" t="s">
        <v>1186</v>
      </c>
      <c r="C414" s="310" t="s">
        <v>164</v>
      </c>
      <c r="D414" s="135" t="s">
        <v>1</v>
      </c>
      <c r="E414" s="136">
        <f>G8*277.24</f>
        <v>277.24</v>
      </c>
      <c r="F414" s="76"/>
      <c r="G414" s="290">
        <v>0</v>
      </c>
      <c r="H414" s="152" t="s">
        <v>597</v>
      </c>
      <c r="I414" s="5"/>
    </row>
    <row r="415" spans="1:9" s="2" customFormat="1" ht="38.25" outlineLevel="1">
      <c r="A415" s="408"/>
      <c r="B415" s="165" t="s">
        <v>1187</v>
      </c>
      <c r="C415" s="310" t="s">
        <v>622</v>
      </c>
      <c r="D415" s="135" t="s">
        <v>1</v>
      </c>
      <c r="E415" s="136">
        <f>G8*348.95</f>
        <v>348.95</v>
      </c>
      <c r="F415" s="76"/>
      <c r="G415" s="290">
        <v>0</v>
      </c>
      <c r="H415" s="152" t="s">
        <v>597</v>
      </c>
      <c r="I415" s="5"/>
    </row>
    <row r="416" spans="1:9" s="2" customFormat="1" ht="25.5" outlineLevel="1">
      <c r="A416" s="408"/>
      <c r="B416" s="165" t="s">
        <v>1188</v>
      </c>
      <c r="C416" s="310" t="s">
        <v>165</v>
      </c>
      <c r="D416" s="135" t="s">
        <v>1</v>
      </c>
      <c r="E416" s="136">
        <f>G8*259.47</f>
        <v>259.47000000000003</v>
      </c>
      <c r="F416" s="76"/>
      <c r="G416" s="290">
        <v>0</v>
      </c>
      <c r="H416" s="152" t="s">
        <v>597</v>
      </c>
      <c r="I416" s="5"/>
    </row>
    <row r="417" spans="1:9" s="2" customFormat="1" ht="22.5" customHeight="1" outlineLevel="1">
      <c r="A417" s="309" t="s">
        <v>577</v>
      </c>
      <c r="B417" s="165" t="s">
        <v>166</v>
      </c>
      <c r="C417" s="310" t="s">
        <v>167</v>
      </c>
      <c r="D417" s="135" t="s">
        <v>1</v>
      </c>
      <c r="E417" s="136">
        <f>G8*6.34</f>
        <v>6.34</v>
      </c>
      <c r="F417" s="76"/>
      <c r="G417" s="290">
        <v>0</v>
      </c>
      <c r="H417" s="300"/>
      <c r="I417" s="5"/>
    </row>
    <row r="418" spans="1:9" s="2" customFormat="1" ht="51" outlineLevel="1">
      <c r="A418" s="309" t="s">
        <v>578</v>
      </c>
      <c r="B418" s="165" t="s">
        <v>168</v>
      </c>
      <c r="C418" s="310" t="s">
        <v>169</v>
      </c>
      <c r="D418" s="135" t="s">
        <v>1</v>
      </c>
      <c r="E418" s="136">
        <f>G8*9.42</f>
        <v>9.42</v>
      </c>
      <c r="F418" s="76"/>
      <c r="G418" s="290">
        <v>0</v>
      </c>
      <c r="H418" s="152" t="s">
        <v>612</v>
      </c>
      <c r="I418" s="5"/>
    </row>
    <row r="419" spans="1:9" s="2" customFormat="1" ht="51" outlineLevel="1">
      <c r="A419" s="309" t="s">
        <v>579</v>
      </c>
      <c r="B419" s="165" t="s">
        <v>170</v>
      </c>
      <c r="C419" s="310" t="s">
        <v>171</v>
      </c>
      <c r="D419" s="135" t="s">
        <v>1</v>
      </c>
      <c r="E419" s="136">
        <f>G8*18.26</f>
        <v>18.260000000000002</v>
      </c>
      <c r="F419" s="76"/>
      <c r="G419" s="290">
        <v>0</v>
      </c>
      <c r="H419" s="152" t="s">
        <v>612</v>
      </c>
      <c r="I419" s="5"/>
    </row>
    <row r="420" spans="1:9" s="2" customFormat="1" ht="25.5" customHeight="1" outlineLevel="1">
      <c r="A420" s="403" t="s">
        <v>172</v>
      </c>
      <c r="B420" s="403"/>
      <c r="C420" s="403"/>
      <c r="D420" s="293"/>
      <c r="E420" s="295"/>
      <c r="F420" s="294"/>
      <c r="G420" s="295"/>
      <c r="H420" s="295"/>
      <c r="I420" s="5"/>
    </row>
    <row r="421" spans="1:9" s="2" customFormat="1" ht="36.6" customHeight="1" outlineLevel="1">
      <c r="A421" s="309" t="s">
        <v>687</v>
      </c>
      <c r="B421" s="133" t="s">
        <v>173</v>
      </c>
      <c r="C421" s="133" t="s">
        <v>174</v>
      </c>
      <c r="D421" s="135" t="s">
        <v>1</v>
      </c>
      <c r="E421" s="136">
        <f>G8*254.35</f>
        <v>254.35</v>
      </c>
      <c r="F421" s="76"/>
      <c r="G421" s="301">
        <v>0</v>
      </c>
      <c r="H421" s="152" t="s">
        <v>597</v>
      </c>
      <c r="I421" s="5"/>
    </row>
    <row r="422" spans="1:9" s="2" customFormat="1" ht="34.9" customHeight="1" outlineLevel="1">
      <c r="A422" s="309" t="s">
        <v>688</v>
      </c>
      <c r="B422" s="133" t="s">
        <v>1190</v>
      </c>
      <c r="C422" s="133" t="s">
        <v>674</v>
      </c>
      <c r="D422" s="94" t="s">
        <v>1</v>
      </c>
      <c r="E422" s="136">
        <f>G8*491.95</f>
        <v>491.95</v>
      </c>
      <c r="F422" s="76"/>
      <c r="G422" s="301">
        <v>0</v>
      </c>
      <c r="H422" s="152"/>
      <c r="I422" s="5"/>
    </row>
    <row r="423" spans="1:9" s="2" customFormat="1" ht="35.450000000000003" customHeight="1" outlineLevel="1">
      <c r="A423" s="309" t="s">
        <v>689</v>
      </c>
      <c r="B423" s="133" t="s">
        <v>1191</v>
      </c>
      <c r="C423" s="133" t="s">
        <v>675</v>
      </c>
      <c r="D423" s="94" t="s">
        <v>1</v>
      </c>
      <c r="E423" s="136">
        <f>G8*526.92</f>
        <v>526.91999999999996</v>
      </c>
      <c r="F423" s="76"/>
      <c r="G423" s="301">
        <v>0</v>
      </c>
      <c r="H423" s="152"/>
      <c r="I423" s="5"/>
    </row>
    <row r="424" spans="1:9" s="2" customFormat="1" ht="43.5" customHeight="1" outlineLevel="1">
      <c r="A424" s="309" t="s">
        <v>459</v>
      </c>
      <c r="B424" s="133" t="s">
        <v>1192</v>
      </c>
      <c r="C424" s="133" t="s">
        <v>676</v>
      </c>
      <c r="D424" s="94" t="s">
        <v>1</v>
      </c>
      <c r="E424" s="136">
        <f>G8*1674.98</f>
        <v>1674.98</v>
      </c>
      <c r="F424" s="76"/>
      <c r="G424" s="301">
        <v>0</v>
      </c>
      <c r="H424" s="152"/>
      <c r="I424" s="5"/>
    </row>
    <row r="425" spans="1:9" s="2" customFormat="1" ht="43.5" customHeight="1" outlineLevel="1">
      <c r="A425" s="309" t="s">
        <v>460</v>
      </c>
      <c r="B425" s="133" t="s">
        <v>1193</v>
      </c>
      <c r="C425" s="133" t="s">
        <v>677</v>
      </c>
      <c r="D425" s="94" t="s">
        <v>1</v>
      </c>
      <c r="E425" s="136">
        <f>G8*2015.76</f>
        <v>2015.76</v>
      </c>
      <c r="F425" s="76"/>
      <c r="G425" s="301">
        <v>0</v>
      </c>
      <c r="H425" s="152"/>
      <c r="I425" s="5"/>
    </row>
    <row r="426" spans="1:9" s="2" customFormat="1" ht="49.5" customHeight="1" outlineLevel="1">
      <c r="A426" s="309" t="s">
        <v>461</v>
      </c>
      <c r="B426" s="133" t="s">
        <v>1194</v>
      </c>
      <c r="C426" s="133" t="s">
        <v>175</v>
      </c>
      <c r="D426" s="135" t="s">
        <v>1</v>
      </c>
      <c r="E426" s="136">
        <f>G8*818.67</f>
        <v>818.67</v>
      </c>
      <c r="F426" s="76"/>
      <c r="G426" s="301">
        <v>0</v>
      </c>
      <c r="H426" s="152"/>
      <c r="I426" s="5"/>
    </row>
    <row r="427" spans="1:9" s="2" customFormat="1" ht="39" customHeight="1" outlineLevel="1">
      <c r="A427" s="309" t="s">
        <v>462</v>
      </c>
      <c r="B427" s="133" t="s">
        <v>1195</v>
      </c>
      <c r="C427" s="133" t="s">
        <v>678</v>
      </c>
      <c r="D427" s="94" t="s">
        <v>1</v>
      </c>
      <c r="E427" s="136">
        <f>G8*3252.25</f>
        <v>3252.25</v>
      </c>
      <c r="F427" s="76"/>
      <c r="G427" s="301">
        <v>0</v>
      </c>
      <c r="H427" s="152"/>
      <c r="I427" s="5"/>
    </row>
    <row r="428" spans="1:9" s="2" customFormat="1" ht="60" customHeight="1" outlineLevel="1">
      <c r="A428" s="408" t="s">
        <v>690</v>
      </c>
      <c r="B428" s="133" t="s">
        <v>176</v>
      </c>
      <c r="C428" s="133" t="s">
        <v>177</v>
      </c>
      <c r="D428" s="135" t="s">
        <v>1</v>
      </c>
      <c r="E428" s="136">
        <f>G8*191.81</f>
        <v>191.81</v>
      </c>
      <c r="F428" s="76"/>
      <c r="G428" s="290">
        <v>0</v>
      </c>
      <c r="H428" s="152" t="s">
        <v>597</v>
      </c>
      <c r="I428" s="5"/>
    </row>
    <row r="429" spans="1:9" s="2" customFormat="1" ht="56.45" customHeight="1" outlineLevel="1">
      <c r="A429" s="408"/>
      <c r="B429" s="133" t="s">
        <v>1189</v>
      </c>
      <c r="C429" s="133" t="s">
        <v>621</v>
      </c>
      <c r="D429" s="135" t="s">
        <v>1</v>
      </c>
      <c r="E429" s="136">
        <f>G8*263.52</f>
        <v>263.52</v>
      </c>
      <c r="F429" s="76"/>
      <c r="G429" s="290">
        <v>0</v>
      </c>
      <c r="H429" s="152" t="s">
        <v>597</v>
      </c>
      <c r="I429" s="5"/>
    </row>
    <row r="430" spans="1:9" s="2" customFormat="1" ht="43.15" customHeight="1" outlineLevel="1">
      <c r="A430" s="408"/>
      <c r="B430" s="133" t="s">
        <v>178</v>
      </c>
      <c r="C430" s="133" t="s">
        <v>179</v>
      </c>
      <c r="D430" s="135" t="s">
        <v>1</v>
      </c>
      <c r="E430" s="136">
        <f>G8*339.03</f>
        <v>339.03</v>
      </c>
      <c r="F430" s="76"/>
      <c r="G430" s="290">
        <v>0</v>
      </c>
      <c r="H430" s="152" t="s">
        <v>597</v>
      </c>
      <c r="I430" s="5"/>
    </row>
    <row r="431" spans="1:9" s="2" customFormat="1" ht="18.75" customHeight="1" outlineLevel="1">
      <c r="A431" s="309" t="s">
        <v>691</v>
      </c>
      <c r="B431" s="133" t="s">
        <v>180</v>
      </c>
      <c r="C431" s="133" t="s">
        <v>181</v>
      </c>
      <c r="D431" s="135" t="s">
        <v>1</v>
      </c>
      <c r="E431" s="136">
        <f>G8*6.34</f>
        <v>6.34</v>
      </c>
      <c r="F431" s="76"/>
      <c r="G431" s="290">
        <v>0</v>
      </c>
      <c r="H431" s="300"/>
      <c r="I431" s="5"/>
    </row>
    <row r="432" spans="1:9" s="2" customFormat="1" ht="43.5" customHeight="1" outlineLevel="1">
      <c r="A432" s="309" t="s">
        <v>692</v>
      </c>
      <c r="B432" s="133" t="s">
        <v>182</v>
      </c>
      <c r="C432" s="133" t="s">
        <v>183</v>
      </c>
      <c r="D432" s="135" t="s">
        <v>1</v>
      </c>
      <c r="E432" s="136">
        <f>G8*165.71</f>
        <v>165.71</v>
      </c>
      <c r="F432" s="76"/>
      <c r="G432" s="290">
        <v>0</v>
      </c>
      <c r="H432" s="152" t="s">
        <v>597</v>
      </c>
      <c r="I432" s="5"/>
    </row>
    <row r="433" spans="1:9" s="2" customFormat="1" ht="25.5" outlineLevel="1">
      <c r="A433" s="309" t="s">
        <v>693</v>
      </c>
      <c r="B433" s="133" t="s">
        <v>184</v>
      </c>
      <c r="C433" s="133" t="s">
        <v>185</v>
      </c>
      <c r="D433" s="135" t="s">
        <v>1</v>
      </c>
      <c r="E433" s="136">
        <f>G8*1297.5</f>
        <v>1297.5</v>
      </c>
      <c r="F433" s="76"/>
      <c r="G433" s="290">
        <v>0</v>
      </c>
      <c r="H433" s="152" t="s">
        <v>597</v>
      </c>
      <c r="I433" s="5"/>
    </row>
    <row r="434" spans="1:9" s="2" customFormat="1" ht="25.5" outlineLevel="1">
      <c r="A434" s="309" t="s">
        <v>694</v>
      </c>
      <c r="B434" s="133" t="s">
        <v>186</v>
      </c>
      <c r="C434" s="133" t="s">
        <v>187</v>
      </c>
      <c r="D434" s="135" t="s">
        <v>1</v>
      </c>
      <c r="E434" s="136">
        <f>G8*737.81</f>
        <v>737.81</v>
      </c>
      <c r="F434" s="76"/>
      <c r="G434" s="290">
        <v>0</v>
      </c>
      <c r="H434" s="152" t="s">
        <v>597</v>
      </c>
      <c r="I434" s="5"/>
    </row>
    <row r="435" spans="1:9" s="2" customFormat="1" ht="25.5" customHeight="1" outlineLevel="1">
      <c r="A435" s="403" t="s">
        <v>714</v>
      </c>
      <c r="B435" s="403"/>
      <c r="C435" s="403"/>
      <c r="D435" s="404"/>
      <c r="E435" s="404"/>
      <c r="F435" s="404"/>
      <c r="G435" s="307"/>
      <c r="H435" s="307"/>
      <c r="I435" s="5"/>
    </row>
    <row r="436" spans="1:9" s="2" customFormat="1" ht="38.25" outlineLevel="1">
      <c r="A436" s="309" t="s">
        <v>463</v>
      </c>
      <c r="B436" s="133" t="s">
        <v>1197</v>
      </c>
      <c r="C436" s="133" t="s">
        <v>1199</v>
      </c>
      <c r="D436" s="135" t="s">
        <v>1</v>
      </c>
      <c r="E436" s="136">
        <f>G8*1105.56</f>
        <v>1105.56</v>
      </c>
      <c r="F436" s="76"/>
      <c r="G436" s="290">
        <v>0</v>
      </c>
      <c r="H436" s="152" t="s">
        <v>598</v>
      </c>
      <c r="I436" s="5"/>
    </row>
    <row r="437" spans="1:9" s="2" customFormat="1" ht="38.25" outlineLevel="1">
      <c r="A437" s="309" t="s">
        <v>464</v>
      </c>
      <c r="B437" s="133" t="s">
        <v>1196</v>
      </c>
      <c r="C437" s="133" t="s">
        <v>1198</v>
      </c>
      <c r="D437" s="135" t="s">
        <v>1</v>
      </c>
      <c r="E437" s="136">
        <f>G8*1858.17</f>
        <v>1858.17</v>
      </c>
      <c r="F437" s="76"/>
      <c r="G437" s="290">
        <v>0</v>
      </c>
      <c r="H437" s="152" t="s">
        <v>598</v>
      </c>
      <c r="I437" s="5"/>
    </row>
    <row r="438" spans="1:9" s="2" customFormat="1" ht="126.6" customHeight="1" outlineLevel="1">
      <c r="A438" s="309" t="s">
        <v>458</v>
      </c>
      <c r="B438" s="133" t="s">
        <v>188</v>
      </c>
      <c r="C438" s="133" t="s">
        <v>1201</v>
      </c>
      <c r="D438" s="135" t="s">
        <v>189</v>
      </c>
      <c r="E438" s="136">
        <f>G8*1256.18</f>
        <v>1256.18</v>
      </c>
      <c r="F438" s="76"/>
      <c r="G438" s="290">
        <v>0</v>
      </c>
      <c r="H438" s="152" t="s">
        <v>599</v>
      </c>
      <c r="I438" s="5"/>
    </row>
    <row r="439" spans="1:9" s="2" customFormat="1" ht="25.5" outlineLevel="1">
      <c r="A439" s="309" t="s">
        <v>465</v>
      </c>
      <c r="B439" s="133" t="s">
        <v>696</v>
      </c>
      <c r="C439" s="133" t="s">
        <v>695</v>
      </c>
      <c r="D439" s="135" t="s">
        <v>190</v>
      </c>
      <c r="E439" s="136">
        <f>G8*7.99</f>
        <v>7.99</v>
      </c>
      <c r="F439" s="76"/>
      <c r="G439" s="290">
        <v>0</v>
      </c>
      <c r="H439" s="152" t="s">
        <v>597</v>
      </c>
      <c r="I439" s="5"/>
    </row>
    <row r="440" spans="1:9" s="2" customFormat="1" ht="25.5" outlineLevel="1">
      <c r="A440" s="309" t="s">
        <v>466</v>
      </c>
      <c r="B440" s="133" t="s">
        <v>191</v>
      </c>
      <c r="C440" s="133" t="s">
        <v>1200</v>
      </c>
      <c r="D440" s="135" t="s">
        <v>1</v>
      </c>
      <c r="E440" s="136">
        <f>G8*68.01</f>
        <v>68.010000000000005</v>
      </c>
      <c r="F440" s="76"/>
      <c r="G440" s="290">
        <v>0</v>
      </c>
      <c r="H440" s="152" t="s">
        <v>597</v>
      </c>
      <c r="I440" s="5"/>
    </row>
    <row r="441" spans="1:9" s="2" customFormat="1" ht="43.5" customHeight="1" outlineLevel="1">
      <c r="A441" s="309" t="s">
        <v>467</v>
      </c>
      <c r="B441" s="133" t="s">
        <v>192</v>
      </c>
      <c r="C441" s="133" t="s">
        <v>717</v>
      </c>
      <c r="D441" s="135" t="s">
        <v>1</v>
      </c>
      <c r="E441" s="136">
        <f>G8*1.61</f>
        <v>1.61</v>
      </c>
      <c r="F441" s="76"/>
      <c r="G441" s="290">
        <v>0</v>
      </c>
      <c r="H441" s="152" t="s">
        <v>597</v>
      </c>
      <c r="I441" s="5"/>
    </row>
    <row r="442" spans="1:9" s="2" customFormat="1" ht="68.25" customHeight="1" outlineLevel="1">
      <c r="A442" s="309" t="s">
        <v>468</v>
      </c>
      <c r="B442" s="133" t="s">
        <v>713</v>
      </c>
      <c r="C442" s="133"/>
      <c r="D442" s="135" t="s">
        <v>1</v>
      </c>
      <c r="E442" s="136">
        <f>G8*32.4</f>
        <v>32.4</v>
      </c>
      <c r="F442" s="76"/>
      <c r="G442" s="290">
        <v>0</v>
      </c>
      <c r="H442" s="152" t="s">
        <v>597</v>
      </c>
      <c r="I442" s="5"/>
    </row>
    <row r="443" spans="1:9" s="2" customFormat="1" ht="25.5" customHeight="1" outlineLevel="1">
      <c r="A443" s="403" t="s">
        <v>193</v>
      </c>
      <c r="B443" s="403"/>
      <c r="C443" s="403"/>
      <c r="D443" s="404"/>
      <c r="E443" s="404"/>
      <c r="F443" s="404"/>
      <c r="G443" s="307"/>
      <c r="H443" s="307"/>
      <c r="I443" s="5"/>
    </row>
    <row r="444" spans="1:9" s="2" customFormat="1" ht="38.25" outlineLevel="1">
      <c r="A444" s="309" t="s">
        <v>469</v>
      </c>
      <c r="B444" s="133" t="s">
        <v>194</v>
      </c>
      <c r="C444" s="133" t="s">
        <v>195</v>
      </c>
      <c r="D444" s="135" t="s">
        <v>196</v>
      </c>
      <c r="E444" s="136">
        <f>G8*102.67</f>
        <v>102.67</v>
      </c>
      <c r="F444" s="76"/>
      <c r="G444" s="290">
        <v>0</v>
      </c>
      <c r="H444" s="152" t="s">
        <v>597</v>
      </c>
      <c r="I444" s="5"/>
    </row>
    <row r="445" spans="1:9" s="2" customFormat="1" ht="51" outlineLevel="1">
      <c r="A445" s="309" t="s">
        <v>470</v>
      </c>
      <c r="B445" s="133" t="s">
        <v>197</v>
      </c>
      <c r="C445" s="133" t="s">
        <v>584</v>
      </c>
      <c r="D445" s="135" t="s">
        <v>482</v>
      </c>
      <c r="E445" s="136">
        <f>G8*195.3</f>
        <v>195.3</v>
      </c>
      <c r="F445" s="76"/>
      <c r="G445" s="290">
        <v>0</v>
      </c>
      <c r="H445" s="152" t="s">
        <v>597</v>
      </c>
      <c r="I445" s="5"/>
    </row>
    <row r="446" spans="1:9" s="2" customFormat="1" ht="25.5" customHeight="1" outlineLevel="1">
      <c r="A446" s="403" t="s">
        <v>131</v>
      </c>
      <c r="B446" s="403"/>
      <c r="C446" s="403"/>
      <c r="D446" s="404"/>
      <c r="E446" s="404"/>
      <c r="F446" s="404"/>
      <c r="G446" s="307"/>
      <c r="H446" s="302"/>
      <c r="I446" s="5"/>
    </row>
    <row r="447" spans="1:9" s="2" customFormat="1" ht="38.25" outlineLevel="1">
      <c r="A447" s="309" t="s">
        <v>471</v>
      </c>
      <c r="B447" s="133" t="s">
        <v>1202</v>
      </c>
      <c r="C447" s="133" t="s">
        <v>1207</v>
      </c>
      <c r="D447" s="135" t="s">
        <v>1</v>
      </c>
      <c r="E447" s="136">
        <f>G8*582.05</f>
        <v>582.04999999999995</v>
      </c>
      <c r="F447" s="76"/>
      <c r="G447" s="290">
        <v>0</v>
      </c>
      <c r="H447" s="187" t="s">
        <v>697</v>
      </c>
      <c r="I447" s="5"/>
    </row>
    <row r="448" spans="1:9" s="2" customFormat="1" ht="38.25" outlineLevel="1">
      <c r="A448" s="309" t="s">
        <v>472</v>
      </c>
      <c r="B448" s="133" t="s">
        <v>1203</v>
      </c>
      <c r="C448" s="133" t="s">
        <v>1208</v>
      </c>
      <c r="D448" s="135" t="s">
        <v>1</v>
      </c>
      <c r="E448" s="136">
        <f>G8*1981.02</f>
        <v>1981.02</v>
      </c>
      <c r="F448" s="76"/>
      <c r="G448" s="290">
        <v>0</v>
      </c>
      <c r="H448" s="187" t="s">
        <v>697</v>
      </c>
      <c r="I448" s="5"/>
    </row>
    <row r="449" spans="1:9" s="2" customFormat="1" ht="38.25" outlineLevel="1">
      <c r="A449" s="309" t="s">
        <v>473</v>
      </c>
      <c r="B449" s="133" t="s">
        <v>1204</v>
      </c>
      <c r="C449" s="133" t="s">
        <v>1209</v>
      </c>
      <c r="D449" s="135" t="s">
        <v>1</v>
      </c>
      <c r="E449" s="136">
        <f>G8*293.29</f>
        <v>293.29000000000002</v>
      </c>
      <c r="F449" s="76"/>
      <c r="G449" s="290">
        <v>0</v>
      </c>
      <c r="H449" s="187" t="s">
        <v>697</v>
      </c>
      <c r="I449" s="5"/>
    </row>
    <row r="450" spans="1:9" s="2" customFormat="1" ht="55.15" customHeight="1" outlineLevel="1">
      <c r="A450" s="309" t="s">
        <v>474</v>
      </c>
      <c r="B450" s="133" t="s">
        <v>1205</v>
      </c>
      <c r="C450" s="133" t="s">
        <v>198</v>
      </c>
      <c r="D450" s="135" t="s">
        <v>88</v>
      </c>
      <c r="E450" s="136">
        <f>G8*490.03</f>
        <v>490.03</v>
      </c>
      <c r="F450" s="76"/>
      <c r="G450" s="290">
        <v>0</v>
      </c>
      <c r="H450" s="152" t="s">
        <v>663</v>
      </c>
      <c r="I450" s="5"/>
    </row>
    <row r="451" spans="1:9" s="2" customFormat="1" ht="40.5" customHeight="1" outlineLevel="1">
      <c r="A451" s="309" t="s">
        <v>475</v>
      </c>
      <c r="B451" s="133" t="s">
        <v>199</v>
      </c>
      <c r="C451" s="133" t="s">
        <v>200</v>
      </c>
      <c r="D451" s="135" t="s">
        <v>88</v>
      </c>
      <c r="E451" s="136">
        <f>G8*2578.91</f>
        <v>2578.91</v>
      </c>
      <c r="F451" s="76"/>
      <c r="G451" s="290">
        <v>0</v>
      </c>
      <c r="H451" s="152" t="s">
        <v>663</v>
      </c>
      <c r="I451" s="5"/>
    </row>
    <row r="452" spans="1:9" s="2" customFormat="1" ht="37.9" customHeight="1" outlineLevel="1">
      <c r="A452" s="309" t="s">
        <v>476</v>
      </c>
      <c r="B452" s="133" t="s">
        <v>201</v>
      </c>
      <c r="C452" s="133" t="s">
        <v>202</v>
      </c>
      <c r="D452" s="135" t="s">
        <v>88</v>
      </c>
      <c r="E452" s="136">
        <f>G8*75.6</f>
        <v>75.599999999999994</v>
      </c>
      <c r="F452" s="76"/>
      <c r="G452" s="290">
        <v>0</v>
      </c>
      <c r="H452" s="152" t="s">
        <v>663</v>
      </c>
      <c r="I452" s="5"/>
    </row>
    <row r="453" spans="1:9" s="2" customFormat="1" ht="37.9" customHeight="1" outlineLevel="1">
      <c r="A453" s="309" t="s">
        <v>477</v>
      </c>
      <c r="B453" s="133" t="s">
        <v>203</v>
      </c>
      <c r="C453" s="133" t="s">
        <v>204</v>
      </c>
      <c r="D453" s="135" t="s">
        <v>88</v>
      </c>
      <c r="E453" s="136">
        <f>G8*161.51</f>
        <v>161.51</v>
      </c>
      <c r="F453" s="76"/>
      <c r="G453" s="290">
        <v>0</v>
      </c>
      <c r="H453" s="152" t="s">
        <v>663</v>
      </c>
      <c r="I453" s="5"/>
    </row>
    <row r="454" spans="1:9" s="2" customFormat="1" ht="37.9" customHeight="1" outlineLevel="1">
      <c r="A454" s="309" t="s">
        <v>478</v>
      </c>
      <c r="B454" s="133" t="s">
        <v>203</v>
      </c>
      <c r="C454" s="133" t="s">
        <v>205</v>
      </c>
      <c r="D454" s="135" t="s">
        <v>1</v>
      </c>
      <c r="E454" s="136">
        <f>G8*50.13</f>
        <v>50.13</v>
      </c>
      <c r="F454" s="76"/>
      <c r="G454" s="290">
        <v>0</v>
      </c>
      <c r="H454" s="152" t="s">
        <v>663</v>
      </c>
      <c r="I454" s="5"/>
    </row>
    <row r="455" spans="1:9" s="2" customFormat="1" ht="37.9" customHeight="1" outlineLevel="1">
      <c r="A455" s="309" t="s">
        <v>517</v>
      </c>
      <c r="B455" s="310" t="s">
        <v>487</v>
      </c>
      <c r="C455" s="310" t="s">
        <v>518</v>
      </c>
      <c r="D455" s="94" t="s">
        <v>88</v>
      </c>
      <c r="E455" s="136">
        <f>G8*580.5</f>
        <v>580.5</v>
      </c>
      <c r="F455" s="76"/>
      <c r="G455" s="290">
        <f>G8*53.33</f>
        <v>53.33</v>
      </c>
      <c r="H455" s="152" t="s">
        <v>663</v>
      </c>
      <c r="I455" s="5"/>
    </row>
    <row r="456" spans="1:9" s="2" customFormat="1" ht="40.15" customHeight="1" outlineLevel="1">
      <c r="A456" s="309" t="s">
        <v>613</v>
      </c>
      <c r="B456" s="310" t="s">
        <v>1206</v>
      </c>
      <c r="C456" s="310" t="s">
        <v>626</v>
      </c>
      <c r="D456" s="94" t="s">
        <v>623</v>
      </c>
      <c r="E456" s="136">
        <f>1+(0.17*G8)</f>
        <v>1.17</v>
      </c>
      <c r="F456" s="76"/>
      <c r="G456" s="290">
        <v>0</v>
      </c>
      <c r="H456" s="187" t="s">
        <v>597</v>
      </c>
      <c r="I456" s="5"/>
    </row>
    <row r="457" spans="1:9" s="2" customFormat="1" ht="25.5" customHeight="1" outlineLevel="1">
      <c r="A457" s="403" t="s">
        <v>207</v>
      </c>
      <c r="B457" s="403"/>
      <c r="C457" s="403"/>
      <c r="D457" s="404">
        <f>1+(0.17*G8)</f>
        <v>1.17</v>
      </c>
      <c r="E457" s="404"/>
      <c r="F457" s="404"/>
      <c r="G457" s="307"/>
      <c r="H457" s="307"/>
      <c r="I457" s="5"/>
    </row>
    <row r="458" spans="1:9" s="2" customFormat="1" ht="38.25" outlineLevel="1">
      <c r="A458" s="309" t="s">
        <v>794</v>
      </c>
      <c r="B458" s="133" t="s">
        <v>208</v>
      </c>
      <c r="C458" s="133" t="s">
        <v>209</v>
      </c>
      <c r="D458" s="135" t="s">
        <v>210</v>
      </c>
      <c r="E458" s="136">
        <f>G8*474.5</f>
        <v>474.5</v>
      </c>
      <c r="F458" s="76"/>
      <c r="G458" s="290">
        <v>0</v>
      </c>
      <c r="H458" s="152" t="s">
        <v>803</v>
      </c>
      <c r="I458" s="5"/>
    </row>
    <row r="459" spans="1:9" s="2" customFormat="1" ht="38.25" outlineLevel="1">
      <c r="A459" s="309" t="s">
        <v>795</v>
      </c>
      <c r="B459" s="133" t="s">
        <v>211</v>
      </c>
      <c r="C459" s="133" t="s">
        <v>212</v>
      </c>
      <c r="D459" s="135" t="s">
        <v>213</v>
      </c>
      <c r="E459" s="136">
        <f>G8*143.1</f>
        <v>143.1</v>
      </c>
      <c r="F459" s="76"/>
      <c r="G459" s="290">
        <v>0</v>
      </c>
      <c r="H459" s="152" t="s">
        <v>804</v>
      </c>
      <c r="I459" s="5"/>
    </row>
    <row r="460" spans="1:9" s="2" customFormat="1" ht="38.25" outlineLevel="1">
      <c r="A460" s="309" t="s">
        <v>796</v>
      </c>
      <c r="B460" s="133" t="s">
        <v>214</v>
      </c>
      <c r="C460" s="133" t="s">
        <v>215</v>
      </c>
      <c r="D460" s="135" t="s">
        <v>213</v>
      </c>
      <c r="E460" s="136">
        <f>G8*338.84</f>
        <v>338.84</v>
      </c>
      <c r="F460" s="76"/>
      <c r="G460" s="290">
        <v>0</v>
      </c>
      <c r="H460" s="303"/>
      <c r="I460" s="5"/>
    </row>
    <row r="461" spans="1:9" s="2" customFormat="1" ht="36.75" customHeight="1" outlineLevel="1">
      <c r="A461" s="309" t="s">
        <v>797</v>
      </c>
      <c r="B461" s="133" t="s">
        <v>216</v>
      </c>
      <c r="C461" s="133" t="s">
        <v>87</v>
      </c>
      <c r="D461" s="135" t="s">
        <v>213</v>
      </c>
      <c r="E461" s="136">
        <f>G8*150.19</f>
        <v>150.19</v>
      </c>
      <c r="F461" s="76"/>
      <c r="G461" s="290">
        <v>0</v>
      </c>
      <c r="H461" s="303"/>
      <c r="I461" s="5"/>
    </row>
    <row r="462" spans="1:9" s="2" customFormat="1" ht="127.5" outlineLevel="1">
      <c r="A462" s="309" t="s">
        <v>798</v>
      </c>
      <c r="B462" s="133" t="s">
        <v>217</v>
      </c>
      <c r="C462" s="133" t="s">
        <v>221</v>
      </c>
      <c r="D462" s="135" t="s">
        <v>210</v>
      </c>
      <c r="E462" s="136">
        <f>G8*293.05</f>
        <v>293.05</v>
      </c>
      <c r="F462" s="76"/>
      <c r="G462" s="290">
        <v>0</v>
      </c>
      <c r="H462" s="303"/>
      <c r="I462" s="5"/>
    </row>
    <row r="463" spans="1:9" s="2" customFormat="1" ht="60" customHeight="1" outlineLevel="1">
      <c r="A463" s="309" t="s">
        <v>799</v>
      </c>
      <c r="B463" s="133" t="s">
        <v>1211</v>
      </c>
      <c r="C463" s="133" t="s">
        <v>218</v>
      </c>
      <c r="D463" s="135" t="s">
        <v>213</v>
      </c>
      <c r="E463" s="136">
        <f>G8*2679.75</f>
        <v>2679.75</v>
      </c>
      <c r="F463" s="76"/>
      <c r="G463" s="290">
        <v>0</v>
      </c>
      <c r="H463" s="300"/>
      <c r="I463" s="5"/>
    </row>
    <row r="464" spans="1:9" s="2" customFormat="1" ht="38.25" outlineLevel="1">
      <c r="A464" s="309" t="s">
        <v>800</v>
      </c>
      <c r="B464" s="133" t="s">
        <v>1210</v>
      </c>
      <c r="C464" s="133" t="s">
        <v>219</v>
      </c>
      <c r="D464" s="135" t="s">
        <v>213</v>
      </c>
      <c r="E464" s="136">
        <f>G8*3204.23</f>
        <v>3204.23</v>
      </c>
      <c r="F464" s="76"/>
      <c r="G464" s="290">
        <v>0</v>
      </c>
      <c r="H464" s="300"/>
      <c r="I464" s="5"/>
    </row>
    <row r="465" spans="1:9" s="2" customFormat="1" ht="39" customHeight="1" outlineLevel="1">
      <c r="A465" s="309" t="s">
        <v>801</v>
      </c>
      <c r="B465" s="133" t="s">
        <v>220</v>
      </c>
      <c r="C465" s="133" t="s">
        <v>802</v>
      </c>
      <c r="D465" s="135" t="s">
        <v>213</v>
      </c>
      <c r="E465" s="136">
        <f>G8*168.05</f>
        <v>168.05</v>
      </c>
      <c r="F465" s="76"/>
      <c r="G465" s="290">
        <v>0</v>
      </c>
      <c r="H465" s="300"/>
      <c r="I465" s="5"/>
    </row>
    <row r="466" spans="1:9" s="2" customFormat="1">
      <c r="A466" s="309"/>
      <c r="B466" s="277"/>
      <c r="C466" s="277"/>
      <c r="D466" s="105"/>
      <c r="E466" s="304"/>
      <c r="F466" s="97"/>
      <c r="G466" s="305"/>
      <c r="H466" s="277"/>
      <c r="I466" s="5"/>
    </row>
    <row r="467" spans="1:9" s="2" customFormat="1">
      <c r="A467" s="309"/>
      <c r="B467" s="277"/>
      <c r="C467" s="277"/>
      <c r="D467" s="105"/>
      <c r="E467" s="304"/>
      <c r="F467" s="97"/>
      <c r="G467" s="305"/>
      <c r="H467" s="277"/>
      <c r="I467" s="5"/>
    </row>
    <row r="468" spans="1:9">
      <c r="A468" s="34"/>
      <c r="B468" s="35" t="s">
        <v>99</v>
      </c>
      <c r="C468" s="36"/>
      <c r="D468" s="37"/>
      <c r="E468" s="38"/>
      <c r="F468" s="39"/>
      <c r="G468" s="40"/>
      <c r="H468" s="41"/>
    </row>
    <row r="469" spans="1:9">
      <c r="A469" s="42">
        <v>1</v>
      </c>
      <c r="B469" s="410" t="s">
        <v>742</v>
      </c>
      <c r="C469" s="410"/>
      <c r="D469" s="410"/>
      <c r="E469" s="410"/>
      <c r="F469" s="410"/>
      <c r="G469" s="410"/>
      <c r="H469" s="410"/>
    </row>
    <row r="470" spans="1:9">
      <c r="A470" s="43">
        <v>2</v>
      </c>
      <c r="B470" s="411" t="s">
        <v>839</v>
      </c>
      <c r="C470" s="411"/>
      <c r="D470" s="411"/>
      <c r="E470" s="411"/>
      <c r="F470" s="411"/>
      <c r="G470" s="411"/>
      <c r="H470" s="411"/>
    </row>
    <row r="471" spans="1:9" ht="15.6" customHeight="1">
      <c r="A471" s="42">
        <v>3</v>
      </c>
      <c r="B471" s="412" t="s">
        <v>1212</v>
      </c>
      <c r="C471" s="412"/>
      <c r="D471" s="412"/>
      <c r="E471" s="412"/>
      <c r="F471" s="412"/>
      <c r="G471" s="412"/>
      <c r="H471" s="412"/>
    </row>
    <row r="472" spans="1:9">
      <c r="A472" s="43">
        <v>4</v>
      </c>
      <c r="B472" s="411" t="s">
        <v>743</v>
      </c>
      <c r="C472" s="411"/>
      <c r="D472" s="411"/>
      <c r="E472" s="411"/>
      <c r="F472" s="411"/>
      <c r="G472" s="411"/>
      <c r="H472" s="411"/>
    </row>
    <row r="473" spans="1:9">
      <c r="A473" s="42">
        <v>5</v>
      </c>
      <c r="B473" s="410" t="s">
        <v>744</v>
      </c>
      <c r="C473" s="410"/>
      <c r="D473" s="410"/>
      <c r="E473" s="410"/>
      <c r="F473" s="410"/>
      <c r="G473" s="410"/>
      <c r="H473" s="410"/>
    </row>
    <row r="474" spans="1:9">
      <c r="A474" s="43">
        <v>6</v>
      </c>
      <c r="B474" s="411" t="s">
        <v>747</v>
      </c>
      <c r="C474" s="411"/>
      <c r="D474" s="411"/>
      <c r="E474" s="411"/>
      <c r="F474" s="411"/>
      <c r="G474" s="411"/>
      <c r="H474" s="411"/>
    </row>
    <row r="475" spans="1:9">
      <c r="A475" s="42">
        <v>7</v>
      </c>
      <c r="B475" s="410" t="s">
        <v>1213</v>
      </c>
      <c r="C475" s="410"/>
      <c r="D475" s="410"/>
      <c r="E475" s="410"/>
      <c r="F475" s="410"/>
      <c r="G475" s="410"/>
      <c r="H475" s="410"/>
    </row>
    <row r="476" spans="1:9" ht="43.15" customHeight="1">
      <c r="A476" s="43">
        <v>8</v>
      </c>
      <c r="B476" s="409" t="s">
        <v>1214</v>
      </c>
      <c r="C476" s="409"/>
      <c r="D476" s="409"/>
      <c r="E476" s="409"/>
      <c r="F476" s="409"/>
      <c r="G476" s="409"/>
      <c r="H476" s="409"/>
    </row>
    <row r="477" spans="1:9" ht="15.6" customHeight="1">
      <c r="A477" s="42">
        <v>9</v>
      </c>
      <c r="B477" s="412" t="s">
        <v>1215</v>
      </c>
      <c r="C477" s="412"/>
      <c r="D477" s="412"/>
      <c r="E477" s="412"/>
      <c r="F477" s="412"/>
      <c r="G477" s="412"/>
      <c r="H477" s="412"/>
    </row>
    <row r="478" spans="1:9" ht="40.9" customHeight="1">
      <c r="A478" s="43">
        <v>10</v>
      </c>
      <c r="B478" s="409" t="s">
        <v>1216</v>
      </c>
      <c r="C478" s="409"/>
      <c r="D478" s="409"/>
      <c r="E478" s="409"/>
      <c r="F478" s="409"/>
      <c r="G478" s="409"/>
      <c r="H478" s="409"/>
    </row>
    <row r="479" spans="1:9" ht="82.9" customHeight="1">
      <c r="A479" s="44">
        <v>11</v>
      </c>
      <c r="B479" s="413" t="s">
        <v>1217</v>
      </c>
      <c r="C479" s="413"/>
      <c r="D479" s="413"/>
      <c r="E479" s="413"/>
      <c r="F479" s="413"/>
      <c r="G479" s="413"/>
      <c r="H479" s="413"/>
    </row>
    <row r="480" spans="1:9" ht="36" customHeight="1">
      <c r="A480" s="43">
        <v>12</v>
      </c>
      <c r="B480" s="409" t="s">
        <v>1218</v>
      </c>
      <c r="C480" s="409"/>
      <c r="D480" s="409"/>
      <c r="E480" s="409"/>
      <c r="F480" s="409"/>
      <c r="G480" s="409"/>
      <c r="H480" s="409"/>
    </row>
    <row r="481" spans="1:8" ht="67.150000000000006" customHeight="1">
      <c r="A481" s="44">
        <v>13</v>
      </c>
      <c r="B481" s="413" t="s">
        <v>1219</v>
      </c>
      <c r="C481" s="413"/>
      <c r="D481" s="413"/>
      <c r="E481" s="413"/>
      <c r="F481" s="413"/>
      <c r="G481" s="413"/>
      <c r="H481" s="413"/>
    </row>
    <row r="482" spans="1:8">
      <c r="B482" s="45"/>
      <c r="C482" s="46"/>
      <c r="D482" s="47"/>
      <c r="E482" s="48"/>
      <c r="H482" s="49"/>
    </row>
  </sheetData>
  <sheetProtection algorithmName="SHA-512" hashValue="c1x2bapHuHn4xNAvlK25Anca+JVh/pqzKtb9l6YAxIVNMhrha5Lw6QRmkH/N56wVKHMFH/o45SNVr0PcQz2eAA==" saltValue="pcRoEGN2e4lTjxRBUpA64w==" spinCount="100000" sheet="1" objects="1" scenarios="1"/>
  <mergeCells count="79">
    <mergeCell ref="B477:H477"/>
    <mergeCell ref="B478:H478"/>
    <mergeCell ref="B479:H479"/>
    <mergeCell ref="B480:H480"/>
    <mergeCell ref="B481:H481"/>
    <mergeCell ref="B476:H476"/>
    <mergeCell ref="A446:C446"/>
    <mergeCell ref="D446:F446"/>
    <mergeCell ref="A457:C457"/>
    <mergeCell ref="D457:F457"/>
    <mergeCell ref="B469:H469"/>
    <mergeCell ref="B470:H470"/>
    <mergeCell ref="B471:H471"/>
    <mergeCell ref="B472:H472"/>
    <mergeCell ref="B473:H473"/>
    <mergeCell ref="B474:H474"/>
    <mergeCell ref="B475:H475"/>
    <mergeCell ref="A443:C443"/>
    <mergeCell ref="D443:F443"/>
    <mergeCell ref="I371:I376"/>
    <mergeCell ref="A384:C384"/>
    <mergeCell ref="A385:C385"/>
    <mergeCell ref="D385:F385"/>
    <mergeCell ref="A398:C398"/>
    <mergeCell ref="A413:C413"/>
    <mergeCell ref="A414:A416"/>
    <mergeCell ref="A420:C420"/>
    <mergeCell ref="A428:A430"/>
    <mergeCell ref="A435:C435"/>
    <mergeCell ref="D435:F435"/>
    <mergeCell ref="A245:C245"/>
    <mergeCell ref="D245:F245"/>
    <mergeCell ref="G245:H245"/>
    <mergeCell ref="A346:C346"/>
    <mergeCell ref="A268:C268"/>
    <mergeCell ref="D268:F268"/>
    <mergeCell ref="G268:H268"/>
    <mergeCell ref="A327:C327"/>
    <mergeCell ref="D327:F327"/>
    <mergeCell ref="G327:H327"/>
    <mergeCell ref="A344:H344"/>
    <mergeCell ref="A345:C345"/>
    <mergeCell ref="J179:J181"/>
    <mergeCell ref="A192:H192"/>
    <mergeCell ref="A194:C194"/>
    <mergeCell ref="A224:C224"/>
    <mergeCell ref="D224:F224"/>
    <mergeCell ref="G224:H224"/>
    <mergeCell ref="A193:C193"/>
    <mergeCell ref="D193:F193"/>
    <mergeCell ref="G193:H193"/>
    <mergeCell ref="A146:C146"/>
    <mergeCell ref="D146:F146"/>
    <mergeCell ref="G146:H146"/>
    <mergeCell ref="A46:C46"/>
    <mergeCell ref="D46:F46"/>
    <mergeCell ref="G46:H46"/>
    <mergeCell ref="A144:H144"/>
    <mergeCell ref="A145:C145"/>
    <mergeCell ref="D145:F145"/>
    <mergeCell ref="G145:H145"/>
    <mergeCell ref="A31:H31"/>
    <mergeCell ref="A44:H44"/>
    <mergeCell ref="A45:C45"/>
    <mergeCell ref="D45:F45"/>
    <mergeCell ref="G45:H45"/>
    <mergeCell ref="A30:C30"/>
    <mergeCell ref="A2:H6"/>
    <mergeCell ref="A12:C12"/>
    <mergeCell ref="A13:C13"/>
    <mergeCell ref="D13:H13"/>
    <mergeCell ref="C15:C17"/>
    <mergeCell ref="A20:C20"/>
    <mergeCell ref="D20:H20"/>
    <mergeCell ref="C22:C23"/>
    <mergeCell ref="A24:C24"/>
    <mergeCell ref="A25:C25"/>
    <mergeCell ref="D25:H25"/>
    <mergeCell ref="A29:H29"/>
  </mergeCells>
  <hyperlinks>
    <hyperlink ref="C8" location="'Приложение № 3.1. к договору'!A1" display="Полный состав работ и условия применения расценок см. Приложение 3.1" xr:uid="{00000000-0004-0000-0000-000000000000}"/>
  </hyperlinks>
  <printOptions horizontalCentered="1"/>
  <pageMargins left="0.23622047244094491" right="0.23622047244094491" top="0.74803149606299213" bottom="0.74803149606299213" header="0.31496062992125984" footer="0.31496062992125984"/>
  <pageSetup paperSize="9" scale="50" fitToHeight="28" orientation="landscape" r:id="rId1"/>
  <ignoredErrors>
    <ignoredError sqref="A8 A116:A129 A106:A114 A96:A104" twoDigitTextYear="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1:J479"/>
  <sheetViews>
    <sheetView showGridLines="0" topLeftCell="A459" zoomScale="50" zoomScaleNormal="50" zoomScaleSheetLayoutView="55" zoomScalePageLayoutView="50" workbookViewId="0">
      <selection activeCell="J479" sqref="J479"/>
    </sheetView>
  </sheetViews>
  <sheetFormatPr defaultColWidth="9.140625" defaultRowHeight="15.75" outlineLevelRow="1"/>
  <cols>
    <col min="1" max="1" width="9.7109375" style="28" customWidth="1"/>
    <col min="2" max="2" width="52.140625" style="28" customWidth="1"/>
    <col min="3" max="3" width="105.7109375" style="28" customWidth="1"/>
    <col min="4" max="4" width="12.7109375" style="29" customWidth="1"/>
    <col min="5" max="5" width="126.28515625" style="50" customWidth="1"/>
    <col min="6" max="6" width="55.85546875" style="1" customWidth="1"/>
    <col min="7" max="7" width="14.140625" style="1" customWidth="1"/>
    <col min="8" max="9" width="9.140625" style="1"/>
    <col min="10" max="10" width="12.140625" style="1" customWidth="1"/>
    <col min="11" max="16384" width="9.140625" style="1"/>
  </cols>
  <sheetData>
    <row r="1" spans="1:5" s="2" customFormat="1">
      <c r="A1" s="28"/>
      <c r="B1" s="28"/>
      <c r="C1" s="28"/>
      <c r="D1" s="29"/>
      <c r="E1" s="50"/>
    </row>
    <row r="2" spans="1:5" ht="23.25" customHeight="1">
      <c r="A2" s="419" t="s">
        <v>1510</v>
      </c>
      <c r="B2" s="420"/>
      <c r="C2" s="420"/>
      <c r="D2" s="420"/>
      <c r="E2" s="420"/>
    </row>
    <row r="3" spans="1:5" ht="23.25" customHeight="1">
      <c r="A3" s="420"/>
      <c r="B3" s="420"/>
      <c r="C3" s="420"/>
      <c r="D3" s="420"/>
      <c r="E3" s="420"/>
    </row>
    <row r="4" spans="1:5" ht="23.25" customHeight="1">
      <c r="A4" s="420"/>
      <c r="B4" s="420"/>
      <c r="C4" s="420"/>
      <c r="D4" s="420"/>
      <c r="E4" s="420"/>
    </row>
    <row r="5" spans="1:5" ht="23.25" customHeight="1">
      <c r="A5" s="420"/>
      <c r="B5" s="420"/>
      <c r="C5" s="420"/>
      <c r="D5" s="420"/>
      <c r="E5" s="420"/>
    </row>
    <row r="6" spans="1:5" ht="23.25" customHeight="1">
      <c r="A6" s="420"/>
      <c r="B6" s="420"/>
      <c r="C6" s="420"/>
      <c r="D6" s="420"/>
      <c r="E6" s="420"/>
    </row>
    <row r="7" spans="1:5" ht="76.150000000000006" customHeight="1">
      <c r="A7" s="57" t="s">
        <v>69</v>
      </c>
      <c r="B7" s="57" t="s">
        <v>65</v>
      </c>
      <c r="C7" s="57" t="s">
        <v>6</v>
      </c>
      <c r="D7" s="57" t="s">
        <v>0</v>
      </c>
      <c r="E7" s="311" t="s">
        <v>1220</v>
      </c>
    </row>
    <row r="8" spans="1:5" s="33" customFormat="1">
      <c r="A8" s="312">
        <v>1</v>
      </c>
      <c r="B8" s="312">
        <v>2</v>
      </c>
      <c r="C8" s="312">
        <v>3</v>
      </c>
      <c r="D8" s="312">
        <v>4</v>
      </c>
      <c r="E8" s="313">
        <v>5</v>
      </c>
    </row>
    <row r="9" spans="1:5" s="2" customFormat="1" ht="26.25" customHeight="1">
      <c r="A9" s="378" t="s">
        <v>810</v>
      </c>
      <c r="B9" s="378"/>
      <c r="C9" s="378"/>
      <c r="D9" s="63"/>
      <c r="E9" s="314"/>
    </row>
    <row r="10" spans="1:5" s="2" customFormat="1" ht="54.75" customHeight="1" outlineLevel="1">
      <c r="A10" s="384" t="s">
        <v>669</v>
      </c>
      <c r="B10" s="384"/>
      <c r="C10" s="384"/>
      <c r="D10" s="315"/>
      <c r="E10" s="316"/>
    </row>
    <row r="11" spans="1:5" s="2" customFormat="1" ht="96" customHeight="1" outlineLevel="1">
      <c r="A11" s="64" t="s">
        <v>9</v>
      </c>
      <c r="B11" s="65" t="s">
        <v>849</v>
      </c>
      <c r="C11" s="66" t="s">
        <v>857</v>
      </c>
      <c r="D11" s="67"/>
      <c r="E11" s="424" t="s">
        <v>1224</v>
      </c>
    </row>
    <row r="12" spans="1:5" s="2" customFormat="1" ht="48" customHeight="1" outlineLevel="1">
      <c r="A12" s="72" t="s">
        <v>222</v>
      </c>
      <c r="B12" s="73" t="s">
        <v>853</v>
      </c>
      <c r="C12" s="386" t="s">
        <v>850</v>
      </c>
      <c r="D12" s="74" t="s">
        <v>223</v>
      </c>
      <c r="E12" s="424"/>
    </row>
    <row r="13" spans="1:5" s="2" customFormat="1" ht="62.25" customHeight="1" outlineLevel="1">
      <c r="A13" s="72" t="s">
        <v>224</v>
      </c>
      <c r="B13" s="73" t="s">
        <v>852</v>
      </c>
      <c r="C13" s="386"/>
      <c r="D13" s="74" t="s">
        <v>223</v>
      </c>
      <c r="E13" s="424"/>
    </row>
    <row r="14" spans="1:5" s="2" customFormat="1" ht="48.6" customHeight="1" outlineLevel="1">
      <c r="A14" s="72" t="s">
        <v>225</v>
      </c>
      <c r="B14" s="73" t="s">
        <v>851</v>
      </c>
      <c r="C14" s="386"/>
      <c r="D14" s="74" t="s">
        <v>223</v>
      </c>
      <c r="E14" s="424"/>
    </row>
    <row r="15" spans="1:5" s="2" customFormat="1" ht="90.6" customHeight="1" outlineLevel="1">
      <c r="A15" s="64" t="s">
        <v>226</v>
      </c>
      <c r="B15" s="78" t="s">
        <v>499</v>
      </c>
      <c r="C15" s="66" t="s">
        <v>1221</v>
      </c>
      <c r="D15" s="79"/>
      <c r="E15" s="424" t="s">
        <v>1223</v>
      </c>
    </row>
    <row r="16" spans="1:5" s="2" customFormat="1" ht="102" customHeight="1" outlineLevel="1">
      <c r="A16" s="72" t="s">
        <v>227</v>
      </c>
      <c r="B16" s="73" t="s">
        <v>854</v>
      </c>
      <c r="C16" s="310" t="s">
        <v>855</v>
      </c>
      <c r="D16" s="74" t="s">
        <v>223</v>
      </c>
      <c r="E16" s="424"/>
    </row>
    <row r="17" spans="1:5" s="2" customFormat="1" ht="48" customHeight="1" outlineLevel="1">
      <c r="A17" s="384" t="s">
        <v>668</v>
      </c>
      <c r="B17" s="384"/>
      <c r="C17" s="384"/>
      <c r="D17" s="317"/>
      <c r="E17" s="318"/>
    </row>
    <row r="18" spans="1:5" s="2" customFormat="1" ht="70.150000000000006" customHeight="1" outlineLevel="1">
      <c r="A18" s="85" t="s">
        <v>228</v>
      </c>
      <c r="B18" s="86" t="s">
        <v>606</v>
      </c>
      <c r="C18" s="87"/>
      <c r="D18" s="94"/>
      <c r="E18" s="425" t="s">
        <v>1222</v>
      </c>
    </row>
    <row r="19" spans="1:5" s="2" customFormat="1" ht="69" customHeight="1" outlineLevel="1">
      <c r="A19" s="92" t="s">
        <v>229</v>
      </c>
      <c r="B19" s="93" t="s">
        <v>858</v>
      </c>
      <c r="C19" s="422" t="s">
        <v>860</v>
      </c>
      <c r="D19" s="94" t="s">
        <v>223</v>
      </c>
      <c r="E19" s="425"/>
    </row>
    <row r="20" spans="1:5" s="2" customFormat="1" ht="63" customHeight="1" outlineLevel="1">
      <c r="A20" s="92" t="s">
        <v>230</v>
      </c>
      <c r="B20" s="93" t="s">
        <v>859</v>
      </c>
      <c r="C20" s="422"/>
      <c r="D20" s="94" t="s">
        <v>223</v>
      </c>
      <c r="E20" s="425"/>
    </row>
    <row r="21" spans="1:5" s="2" customFormat="1" ht="26.25" customHeight="1">
      <c r="A21" s="378" t="s">
        <v>811</v>
      </c>
      <c r="B21" s="378"/>
      <c r="C21" s="378"/>
      <c r="D21" s="63"/>
      <c r="E21" s="319"/>
    </row>
    <row r="22" spans="1:5" s="2" customFormat="1" ht="48.6" customHeight="1" outlineLevel="1">
      <c r="A22" s="384" t="s">
        <v>748</v>
      </c>
      <c r="B22" s="384"/>
      <c r="C22" s="384"/>
      <c r="D22" s="320"/>
      <c r="E22" s="321" t="s">
        <v>1225</v>
      </c>
    </row>
    <row r="23" spans="1:5" s="2" customFormat="1" ht="192.6" customHeight="1" outlineLevel="1">
      <c r="A23" s="99" t="s">
        <v>10</v>
      </c>
      <c r="B23" s="100" t="s">
        <v>861</v>
      </c>
      <c r="C23" s="101" t="s">
        <v>863</v>
      </c>
      <c r="D23" s="74" t="s">
        <v>236</v>
      </c>
      <c r="E23" s="425" t="s">
        <v>1226</v>
      </c>
    </row>
    <row r="24" spans="1:5" s="2" customFormat="1" ht="124.9" customHeight="1" outlineLevel="1">
      <c r="A24" s="99" t="s">
        <v>11</v>
      </c>
      <c r="B24" s="100" t="s">
        <v>862</v>
      </c>
      <c r="C24" s="101" t="s">
        <v>864</v>
      </c>
      <c r="D24" s="74" t="s">
        <v>236</v>
      </c>
      <c r="E24" s="425"/>
    </row>
    <row r="25" spans="1:5" s="2" customFormat="1" ht="187.15" customHeight="1" outlineLevel="1">
      <c r="A25" s="99" t="s">
        <v>12</v>
      </c>
      <c r="B25" s="100" t="s">
        <v>503</v>
      </c>
      <c r="C25" s="101" t="s">
        <v>866</v>
      </c>
      <c r="D25" s="74" t="s">
        <v>236</v>
      </c>
      <c r="E25" s="425"/>
    </row>
    <row r="26" spans="1:5" s="2" customFormat="1" ht="107.25" customHeight="1" outlineLevel="1">
      <c r="A26" s="390" t="s">
        <v>867</v>
      </c>
      <c r="B26" s="390"/>
      <c r="C26" s="390"/>
      <c r="D26" s="390"/>
      <c r="E26" s="390"/>
    </row>
    <row r="27" spans="1:5" s="2" customFormat="1" ht="26.25" customHeight="1">
      <c r="A27" s="378" t="s">
        <v>812</v>
      </c>
      <c r="B27" s="378"/>
      <c r="C27" s="378"/>
      <c r="D27" s="105"/>
      <c r="E27" s="322"/>
    </row>
    <row r="28" spans="1:5" s="2" customFormat="1" ht="21.75" customHeight="1" outlineLevel="1">
      <c r="A28" s="391" t="s">
        <v>751</v>
      </c>
      <c r="B28" s="391"/>
      <c r="C28" s="391"/>
      <c r="D28" s="391"/>
      <c r="E28" s="391"/>
    </row>
    <row r="29" spans="1:5" s="2" customFormat="1" ht="165.6" customHeight="1" outlineLevel="1">
      <c r="A29" s="106" t="s">
        <v>13</v>
      </c>
      <c r="B29" s="107" t="s">
        <v>868</v>
      </c>
      <c r="C29" s="108" t="s">
        <v>869</v>
      </c>
      <c r="D29" s="109"/>
      <c r="E29" s="426" t="s">
        <v>1228</v>
      </c>
    </row>
    <row r="30" spans="1:5" s="2" customFormat="1" ht="31.15" customHeight="1" outlineLevel="1">
      <c r="A30" s="114" t="s">
        <v>237</v>
      </c>
      <c r="B30" s="115" t="s">
        <v>870</v>
      </c>
      <c r="C30" s="116"/>
      <c r="D30" s="117" t="s">
        <v>68</v>
      </c>
      <c r="E30" s="426"/>
    </row>
    <row r="31" spans="1:5" s="2" customFormat="1" ht="31.15" customHeight="1" outlineLevel="1">
      <c r="A31" s="114" t="s">
        <v>238</v>
      </c>
      <c r="B31" s="115" t="s">
        <v>871</v>
      </c>
      <c r="C31" s="116"/>
      <c r="D31" s="117" t="s">
        <v>68</v>
      </c>
      <c r="E31" s="426"/>
    </row>
    <row r="32" spans="1:5" s="2" customFormat="1" ht="31.15" customHeight="1" outlineLevel="1">
      <c r="A32" s="114" t="s">
        <v>239</v>
      </c>
      <c r="B32" s="115" t="s">
        <v>872</v>
      </c>
      <c r="C32" s="116"/>
      <c r="D32" s="117" t="s">
        <v>68</v>
      </c>
      <c r="E32" s="426"/>
    </row>
    <row r="33" spans="1:7" s="2" customFormat="1" ht="196.15" customHeight="1" outlineLevel="1">
      <c r="A33" s="106" t="s">
        <v>14</v>
      </c>
      <c r="B33" s="107" t="s">
        <v>873</v>
      </c>
      <c r="C33" s="108" t="s">
        <v>874</v>
      </c>
      <c r="D33" s="120"/>
      <c r="E33" s="421" t="s">
        <v>1227</v>
      </c>
    </row>
    <row r="34" spans="1:7" s="2" customFormat="1" ht="32.25" customHeight="1" outlineLevel="1">
      <c r="A34" s="124" t="s">
        <v>240</v>
      </c>
      <c r="B34" s="125" t="s">
        <v>875</v>
      </c>
      <c r="C34" s="126"/>
      <c r="D34" s="127" t="s">
        <v>68</v>
      </c>
      <c r="E34" s="421"/>
    </row>
    <row r="35" spans="1:7" s="2" customFormat="1" ht="31.15" customHeight="1" outlineLevel="1">
      <c r="A35" s="124" t="s">
        <v>241</v>
      </c>
      <c r="B35" s="125" t="s">
        <v>876</v>
      </c>
      <c r="C35" s="126"/>
      <c r="D35" s="127" t="s">
        <v>68</v>
      </c>
      <c r="E35" s="421"/>
    </row>
    <row r="36" spans="1:7" s="2" customFormat="1" ht="31.15" customHeight="1" outlineLevel="1">
      <c r="A36" s="124" t="s">
        <v>242</v>
      </c>
      <c r="B36" s="125" t="s">
        <v>877</v>
      </c>
      <c r="C36" s="126"/>
      <c r="D36" s="127" t="s">
        <v>68</v>
      </c>
      <c r="E36" s="421"/>
    </row>
    <row r="37" spans="1:7" s="2" customFormat="1" ht="144.6" customHeight="1" outlineLevel="1">
      <c r="A37" s="106" t="s">
        <v>15</v>
      </c>
      <c r="B37" s="107" t="s">
        <v>880</v>
      </c>
      <c r="C37" s="108" t="s">
        <v>881</v>
      </c>
      <c r="D37" s="120"/>
      <c r="E37" s="421" t="s">
        <v>1229</v>
      </c>
    </row>
    <row r="38" spans="1:7" s="2" customFormat="1" ht="31.15" customHeight="1" outlineLevel="1">
      <c r="A38" s="114" t="s">
        <v>243</v>
      </c>
      <c r="B38" s="115" t="s">
        <v>878</v>
      </c>
      <c r="C38" s="116"/>
      <c r="D38" s="117" t="s">
        <v>68</v>
      </c>
      <c r="E38" s="421"/>
    </row>
    <row r="39" spans="1:7" s="2" customFormat="1" ht="31.15" customHeight="1" outlineLevel="1">
      <c r="A39" s="114" t="s">
        <v>244</v>
      </c>
      <c r="B39" s="115" t="s">
        <v>879</v>
      </c>
      <c r="C39" s="116"/>
      <c r="D39" s="117" t="s">
        <v>68</v>
      </c>
      <c r="E39" s="421"/>
    </row>
    <row r="40" spans="1:7" s="2" customFormat="1" ht="31.15" customHeight="1" outlineLevel="1">
      <c r="A40" s="114" t="s">
        <v>245</v>
      </c>
      <c r="B40" s="115" t="s">
        <v>872</v>
      </c>
      <c r="C40" s="116"/>
      <c r="D40" s="117" t="s">
        <v>68</v>
      </c>
      <c r="E40" s="421"/>
    </row>
    <row r="41" spans="1:7" s="2" customFormat="1" ht="102" customHeight="1" outlineLevel="1">
      <c r="A41" s="392" t="s">
        <v>882</v>
      </c>
      <c r="B41" s="393"/>
      <c r="C41" s="393"/>
      <c r="D41" s="393"/>
      <c r="E41" s="393"/>
    </row>
    <row r="42" spans="1:7" s="2" customFormat="1" ht="42.6" customHeight="1">
      <c r="A42" s="378" t="s">
        <v>749</v>
      </c>
      <c r="B42" s="378"/>
      <c r="C42" s="378"/>
      <c r="D42" s="378"/>
      <c r="E42" s="378"/>
    </row>
    <row r="43" spans="1:7" s="2" customFormat="1" ht="28.5" customHeight="1" outlineLevel="1">
      <c r="A43" s="394" t="s">
        <v>587</v>
      </c>
      <c r="B43" s="394"/>
      <c r="C43" s="394"/>
      <c r="D43" s="384"/>
      <c r="E43" s="384"/>
    </row>
    <row r="44" spans="1:7" s="2" customFormat="1" ht="78" customHeight="1" outlineLevel="1">
      <c r="A44" s="134" t="s">
        <v>248</v>
      </c>
      <c r="B44" s="133" t="s">
        <v>883</v>
      </c>
      <c r="C44" s="133" t="s">
        <v>719</v>
      </c>
      <c r="D44" s="135" t="s">
        <v>720</v>
      </c>
      <c r="E44" s="323" t="s">
        <v>1376</v>
      </c>
    </row>
    <row r="45" spans="1:7" s="2" customFormat="1" ht="201.6" customHeight="1" outlineLevel="1">
      <c r="A45" s="106" t="s">
        <v>17</v>
      </c>
      <c r="B45" s="139" t="s">
        <v>884</v>
      </c>
      <c r="C45" s="140" t="s">
        <v>885</v>
      </c>
      <c r="D45" s="131"/>
      <c r="E45" s="324" t="s">
        <v>1230</v>
      </c>
      <c r="F45" s="8"/>
    </row>
    <row r="46" spans="1:7" s="2" customFormat="1" ht="31.15" customHeight="1" outlineLevel="1">
      <c r="A46" s="124" t="s">
        <v>249</v>
      </c>
      <c r="B46" s="133" t="s">
        <v>887</v>
      </c>
      <c r="C46" s="133"/>
      <c r="D46" s="184" t="s">
        <v>705</v>
      </c>
      <c r="E46" s="423" t="s">
        <v>1375</v>
      </c>
      <c r="F46" s="7"/>
      <c r="G46" s="6"/>
    </row>
    <row r="47" spans="1:7" s="2" customFormat="1" ht="31.15" customHeight="1" outlineLevel="1">
      <c r="A47" s="124" t="s">
        <v>250</v>
      </c>
      <c r="B47" s="133" t="s">
        <v>888</v>
      </c>
      <c r="C47" s="133"/>
      <c r="D47" s="184" t="s">
        <v>705</v>
      </c>
      <c r="E47" s="423"/>
      <c r="F47" s="7"/>
      <c r="G47" s="6"/>
    </row>
    <row r="48" spans="1:7" s="2" customFormat="1" ht="31.15" customHeight="1" outlineLevel="1">
      <c r="A48" s="124" t="s">
        <v>251</v>
      </c>
      <c r="B48" s="133" t="s">
        <v>889</v>
      </c>
      <c r="C48" s="133"/>
      <c r="D48" s="184" t="s">
        <v>705</v>
      </c>
      <c r="E48" s="423"/>
      <c r="F48" s="7"/>
      <c r="G48" s="6"/>
    </row>
    <row r="49" spans="1:7" s="2" customFormat="1" ht="31.15" customHeight="1" outlineLevel="1">
      <c r="A49" s="124" t="s">
        <v>252</v>
      </c>
      <c r="B49" s="133" t="s">
        <v>890</v>
      </c>
      <c r="C49" s="133"/>
      <c r="D49" s="184" t="s">
        <v>705</v>
      </c>
      <c r="E49" s="423"/>
      <c r="F49" s="7"/>
      <c r="G49" s="6"/>
    </row>
    <row r="50" spans="1:7" s="2" customFormat="1" ht="31.15" customHeight="1" outlineLevel="1">
      <c r="A50" s="124" t="s">
        <v>253</v>
      </c>
      <c r="B50" s="133" t="s">
        <v>891</v>
      </c>
      <c r="C50" s="133"/>
      <c r="D50" s="184" t="s">
        <v>705</v>
      </c>
      <c r="E50" s="423"/>
      <c r="F50" s="7"/>
      <c r="G50" s="6"/>
    </row>
    <row r="51" spans="1:7" s="2" customFormat="1" ht="31.15" customHeight="1" outlineLevel="1">
      <c r="A51" s="124" t="s">
        <v>254</v>
      </c>
      <c r="B51" s="133" t="s">
        <v>892</v>
      </c>
      <c r="C51" s="133"/>
      <c r="D51" s="184" t="s">
        <v>705</v>
      </c>
      <c r="E51" s="423"/>
      <c r="F51" s="7"/>
      <c r="G51" s="6"/>
    </row>
    <row r="52" spans="1:7" s="2" customFormat="1" ht="31.15" customHeight="1" outlineLevel="1">
      <c r="A52" s="124" t="s">
        <v>255</v>
      </c>
      <c r="B52" s="133" t="s">
        <v>893</v>
      </c>
      <c r="C52" s="133"/>
      <c r="D52" s="184" t="s">
        <v>705</v>
      </c>
      <c r="E52" s="423"/>
      <c r="F52" s="7"/>
      <c r="G52" s="6"/>
    </row>
    <row r="53" spans="1:7" s="2" customFormat="1" ht="205.9" customHeight="1" outlineLevel="1">
      <c r="A53" s="106" t="s">
        <v>18</v>
      </c>
      <c r="B53" s="139" t="s">
        <v>894</v>
      </c>
      <c r="C53" s="140" t="s">
        <v>895</v>
      </c>
      <c r="D53" s="131"/>
      <c r="E53" s="325" t="s">
        <v>1231</v>
      </c>
    </row>
    <row r="54" spans="1:7" s="2" customFormat="1" ht="42" customHeight="1" outlineLevel="1">
      <c r="A54" s="124" t="s">
        <v>256</v>
      </c>
      <c r="B54" s="133" t="s">
        <v>897</v>
      </c>
      <c r="C54" s="147"/>
      <c r="D54" s="184" t="s">
        <v>705</v>
      </c>
      <c r="E54" s="423" t="s">
        <v>1374</v>
      </c>
      <c r="F54" s="7"/>
      <c r="G54" s="6"/>
    </row>
    <row r="55" spans="1:7" s="2" customFormat="1" ht="37.9" customHeight="1" outlineLevel="1">
      <c r="A55" s="124" t="s">
        <v>257</v>
      </c>
      <c r="B55" s="133" t="s">
        <v>888</v>
      </c>
      <c r="C55" s="147"/>
      <c r="D55" s="184" t="s">
        <v>705</v>
      </c>
      <c r="E55" s="423"/>
      <c r="F55" s="7"/>
      <c r="G55" s="6"/>
    </row>
    <row r="56" spans="1:7" s="2" customFormat="1" ht="31.15" customHeight="1" outlineLevel="1">
      <c r="A56" s="124" t="s">
        <v>258</v>
      </c>
      <c r="B56" s="133" t="s">
        <v>889</v>
      </c>
      <c r="C56" s="147"/>
      <c r="D56" s="184" t="s">
        <v>705</v>
      </c>
      <c r="E56" s="423"/>
      <c r="F56" s="7"/>
      <c r="G56" s="6"/>
    </row>
    <row r="57" spans="1:7" s="2" customFormat="1" ht="31.15" customHeight="1" outlineLevel="1">
      <c r="A57" s="124" t="s">
        <v>259</v>
      </c>
      <c r="B57" s="133" t="s">
        <v>890</v>
      </c>
      <c r="C57" s="147"/>
      <c r="D57" s="184" t="s">
        <v>705</v>
      </c>
      <c r="E57" s="423"/>
      <c r="F57" s="7"/>
      <c r="G57" s="6"/>
    </row>
    <row r="58" spans="1:7" s="2" customFormat="1" ht="31.15" customHeight="1" outlineLevel="1">
      <c r="A58" s="124" t="s">
        <v>260</v>
      </c>
      <c r="B58" s="133" t="s">
        <v>891</v>
      </c>
      <c r="C58" s="147"/>
      <c r="D58" s="184" t="s">
        <v>705</v>
      </c>
      <c r="E58" s="423"/>
      <c r="F58" s="7"/>
      <c r="G58" s="6"/>
    </row>
    <row r="59" spans="1:7" s="2" customFormat="1" ht="33" customHeight="1" outlineLevel="1">
      <c r="A59" s="124" t="s">
        <v>261</v>
      </c>
      <c r="B59" s="133" t="s">
        <v>892</v>
      </c>
      <c r="C59" s="133"/>
      <c r="D59" s="184" t="s">
        <v>705</v>
      </c>
      <c r="E59" s="423"/>
      <c r="F59" s="7"/>
      <c r="G59" s="6"/>
    </row>
    <row r="60" spans="1:7" s="2" customFormat="1" ht="43.9" customHeight="1" outlineLevel="1">
      <c r="A60" s="148" t="s">
        <v>262</v>
      </c>
      <c r="B60" s="133" t="s">
        <v>898</v>
      </c>
      <c r="C60" s="133"/>
      <c r="D60" s="184" t="s">
        <v>705</v>
      </c>
      <c r="E60" s="423"/>
      <c r="F60" s="7"/>
      <c r="G60" s="6"/>
    </row>
    <row r="61" spans="1:7" s="2" customFormat="1" ht="155.44999999999999" customHeight="1" outlineLevel="1">
      <c r="A61" s="106" t="s">
        <v>21</v>
      </c>
      <c r="B61" s="139" t="s">
        <v>899</v>
      </c>
      <c r="C61" s="140" t="s">
        <v>900</v>
      </c>
      <c r="D61" s="131"/>
      <c r="E61" s="325" t="s">
        <v>1232</v>
      </c>
    </row>
    <row r="62" spans="1:7" s="2" customFormat="1" ht="31.15" customHeight="1" outlineLevel="1">
      <c r="A62" s="124" t="s">
        <v>22</v>
      </c>
      <c r="B62" s="133" t="s">
        <v>887</v>
      </c>
      <c r="C62" s="133"/>
      <c r="D62" s="184" t="s">
        <v>705</v>
      </c>
      <c r="E62" s="423" t="s">
        <v>1233</v>
      </c>
      <c r="F62" s="7"/>
      <c r="G62" s="6"/>
    </row>
    <row r="63" spans="1:7" s="2" customFormat="1" ht="31.15" customHeight="1" outlineLevel="1">
      <c r="A63" s="124" t="s">
        <v>23</v>
      </c>
      <c r="B63" s="133" t="s">
        <v>888</v>
      </c>
      <c r="C63" s="149"/>
      <c r="D63" s="184" t="s">
        <v>705</v>
      </c>
      <c r="E63" s="423"/>
      <c r="F63" s="7"/>
      <c r="G63" s="6"/>
    </row>
    <row r="64" spans="1:7" s="2" customFormat="1" ht="31.15" customHeight="1" outlineLevel="1">
      <c r="A64" s="124" t="s">
        <v>364</v>
      </c>
      <c r="B64" s="133" t="s">
        <v>889</v>
      </c>
      <c r="C64" s="147"/>
      <c r="D64" s="184" t="s">
        <v>705</v>
      </c>
      <c r="E64" s="423"/>
      <c r="F64" s="7"/>
      <c r="G64" s="6"/>
    </row>
    <row r="65" spans="1:7" s="2" customFormat="1" ht="31.15" customHeight="1" outlineLevel="1">
      <c r="A65" s="124" t="s">
        <v>365</v>
      </c>
      <c r="B65" s="133" t="s">
        <v>890</v>
      </c>
      <c r="C65" s="149"/>
      <c r="D65" s="184" t="s">
        <v>705</v>
      </c>
      <c r="E65" s="423"/>
      <c r="F65" s="7"/>
      <c r="G65" s="6"/>
    </row>
    <row r="66" spans="1:7" s="2" customFormat="1" ht="31.15" customHeight="1" outlineLevel="1">
      <c r="A66" s="124" t="s">
        <v>362</v>
      </c>
      <c r="B66" s="133" t="s">
        <v>901</v>
      </c>
      <c r="C66" s="150"/>
      <c r="D66" s="184" t="s">
        <v>705</v>
      </c>
      <c r="E66" s="423"/>
      <c r="F66" s="7"/>
      <c r="G66" s="6"/>
    </row>
    <row r="67" spans="1:7" s="2" customFormat="1" ht="31.15" customHeight="1" outlineLevel="1">
      <c r="A67" s="124" t="s">
        <v>366</v>
      </c>
      <c r="B67" s="133" t="s">
        <v>892</v>
      </c>
      <c r="C67" s="150"/>
      <c r="D67" s="184" t="s">
        <v>705</v>
      </c>
      <c r="E67" s="423"/>
      <c r="F67" s="7"/>
      <c r="G67" s="6"/>
    </row>
    <row r="68" spans="1:7" s="2" customFormat="1" ht="31.15" customHeight="1" outlineLevel="1">
      <c r="A68" s="124" t="s">
        <v>367</v>
      </c>
      <c r="B68" s="133" t="s">
        <v>898</v>
      </c>
      <c r="C68" s="150"/>
      <c r="D68" s="184" t="s">
        <v>705</v>
      </c>
      <c r="E68" s="423"/>
      <c r="F68" s="7"/>
      <c r="G68" s="6"/>
    </row>
    <row r="69" spans="1:7" s="2" customFormat="1" ht="46.9" customHeight="1" outlineLevel="1">
      <c r="A69" s="106" t="s">
        <v>24</v>
      </c>
      <c r="B69" s="139" t="s">
        <v>98</v>
      </c>
      <c r="C69" s="140" t="s">
        <v>45</v>
      </c>
      <c r="D69" s="131"/>
      <c r="E69" s="326" t="s">
        <v>1243</v>
      </c>
    </row>
    <row r="70" spans="1:7" s="2" customFormat="1" ht="46.9" customHeight="1" outlineLevel="1">
      <c r="A70" s="124" t="s">
        <v>395</v>
      </c>
      <c r="B70" s="133" t="s">
        <v>902</v>
      </c>
      <c r="C70" s="133"/>
      <c r="D70" s="184" t="s">
        <v>46</v>
      </c>
      <c r="E70" s="416" t="s">
        <v>1244</v>
      </c>
    </row>
    <row r="71" spans="1:7" s="2" customFormat="1" ht="46.9" customHeight="1" outlineLevel="1">
      <c r="A71" s="124" t="s">
        <v>396</v>
      </c>
      <c r="B71" s="133" t="s">
        <v>903</v>
      </c>
      <c r="C71" s="133"/>
      <c r="D71" s="184" t="s">
        <v>46</v>
      </c>
      <c r="E71" s="416"/>
    </row>
    <row r="72" spans="1:7" s="2" customFormat="1" ht="46.9" customHeight="1" outlineLevel="1">
      <c r="A72" s="124" t="s">
        <v>397</v>
      </c>
      <c r="B72" s="133" t="s">
        <v>904</v>
      </c>
      <c r="C72" s="133"/>
      <c r="D72" s="184" t="s">
        <v>46</v>
      </c>
      <c r="E72" s="416"/>
    </row>
    <row r="73" spans="1:7" s="2" customFormat="1" ht="46.9" customHeight="1" outlineLevel="1">
      <c r="A73" s="124" t="s">
        <v>398</v>
      </c>
      <c r="B73" s="133" t="s">
        <v>905</v>
      </c>
      <c r="C73" s="133"/>
      <c r="D73" s="184" t="s">
        <v>46</v>
      </c>
      <c r="E73" s="416"/>
    </row>
    <row r="74" spans="1:7" s="2" customFormat="1" ht="46.9" customHeight="1" outlineLevel="1">
      <c r="A74" s="124" t="s">
        <v>399</v>
      </c>
      <c r="B74" s="133" t="s">
        <v>906</v>
      </c>
      <c r="C74" s="133"/>
      <c r="D74" s="184" t="s">
        <v>46</v>
      </c>
      <c r="E74" s="416"/>
    </row>
    <row r="75" spans="1:7" s="2" customFormat="1" ht="39" customHeight="1" outlineLevel="1">
      <c r="A75" s="124" t="s">
        <v>400</v>
      </c>
      <c r="B75" s="133" t="s">
        <v>907</v>
      </c>
      <c r="C75" s="133"/>
      <c r="D75" s="184" t="s">
        <v>46</v>
      </c>
      <c r="E75" s="416"/>
    </row>
    <row r="76" spans="1:7" s="2" customFormat="1" ht="106.9" customHeight="1" outlineLevel="1">
      <c r="A76" s="106" t="s">
        <v>25</v>
      </c>
      <c r="B76" s="139" t="s">
        <v>764</v>
      </c>
      <c r="C76" s="140" t="s">
        <v>762</v>
      </c>
      <c r="D76" s="131"/>
      <c r="E76" s="327" t="s">
        <v>1243</v>
      </c>
    </row>
    <row r="77" spans="1:7" s="2" customFormat="1" ht="27.6" customHeight="1" outlineLevel="1">
      <c r="A77" s="124" t="s">
        <v>368</v>
      </c>
      <c r="B77" s="133" t="s">
        <v>909</v>
      </c>
      <c r="C77" s="133"/>
      <c r="D77" s="184" t="s">
        <v>489</v>
      </c>
      <c r="E77" s="416" t="s">
        <v>1242</v>
      </c>
    </row>
    <row r="78" spans="1:7" s="2" customFormat="1" ht="28.9" customHeight="1" outlineLevel="1">
      <c r="A78" s="124" t="s">
        <v>369</v>
      </c>
      <c r="B78" s="133" t="s">
        <v>910</v>
      </c>
      <c r="C78" s="133"/>
      <c r="D78" s="184" t="s">
        <v>489</v>
      </c>
      <c r="E78" s="416"/>
    </row>
    <row r="79" spans="1:7" s="2" customFormat="1" ht="27.6" customHeight="1" outlineLevel="1">
      <c r="A79" s="124" t="s">
        <v>370</v>
      </c>
      <c r="B79" s="133" t="s">
        <v>911</v>
      </c>
      <c r="C79" s="133"/>
      <c r="D79" s="184" t="s">
        <v>489</v>
      </c>
      <c r="E79" s="416"/>
    </row>
    <row r="80" spans="1:7" s="2" customFormat="1" ht="22.15" customHeight="1" outlineLevel="1">
      <c r="A80" s="124" t="s">
        <v>371</v>
      </c>
      <c r="B80" s="133" t="s">
        <v>912</v>
      </c>
      <c r="C80" s="133"/>
      <c r="D80" s="184" t="s">
        <v>489</v>
      </c>
      <c r="E80" s="416"/>
    </row>
    <row r="81" spans="1:7" s="2" customFormat="1" ht="25.9" customHeight="1" outlineLevel="1">
      <c r="A81" s="124" t="s">
        <v>372</v>
      </c>
      <c r="B81" s="133" t="s">
        <v>913</v>
      </c>
      <c r="C81" s="133"/>
      <c r="D81" s="184" t="s">
        <v>489</v>
      </c>
      <c r="E81" s="416"/>
    </row>
    <row r="82" spans="1:7" s="2" customFormat="1" ht="184.9" customHeight="1" outlineLevel="1">
      <c r="A82" s="157" t="s">
        <v>26</v>
      </c>
      <c r="B82" s="139" t="s">
        <v>925</v>
      </c>
      <c r="C82" s="140" t="s">
        <v>914</v>
      </c>
      <c r="D82" s="131"/>
      <c r="E82" s="328" t="s">
        <v>1235</v>
      </c>
    </row>
    <row r="83" spans="1:7" s="2" customFormat="1" ht="15.6" customHeight="1" outlineLevel="1">
      <c r="A83" s="124" t="s">
        <v>373</v>
      </c>
      <c r="B83" s="133" t="s">
        <v>916</v>
      </c>
      <c r="C83" s="133"/>
      <c r="D83" s="184" t="s">
        <v>2</v>
      </c>
      <c r="E83" s="423" t="s">
        <v>1373</v>
      </c>
      <c r="F83" s="7"/>
      <c r="G83" s="6"/>
    </row>
    <row r="84" spans="1:7" s="2" customFormat="1" ht="19.149999999999999" customHeight="1" outlineLevel="1">
      <c r="A84" s="124" t="s">
        <v>374</v>
      </c>
      <c r="B84" s="133" t="s">
        <v>917</v>
      </c>
      <c r="C84" s="133"/>
      <c r="D84" s="184" t="s">
        <v>2</v>
      </c>
      <c r="E84" s="423"/>
      <c r="F84" s="7"/>
      <c r="G84" s="6"/>
    </row>
    <row r="85" spans="1:7" s="2" customFormat="1" ht="15.6" customHeight="1" outlineLevel="1">
      <c r="A85" s="124" t="s">
        <v>375</v>
      </c>
      <c r="B85" s="133" t="s">
        <v>918</v>
      </c>
      <c r="C85" s="133"/>
      <c r="D85" s="184" t="s">
        <v>2</v>
      </c>
      <c r="E85" s="423"/>
      <c r="F85" s="7"/>
      <c r="G85" s="6"/>
    </row>
    <row r="86" spans="1:7" s="2" customFormat="1" ht="15.6" customHeight="1" outlineLevel="1">
      <c r="A86" s="124" t="s">
        <v>376</v>
      </c>
      <c r="B86" s="133" t="s">
        <v>919</v>
      </c>
      <c r="C86" s="147"/>
      <c r="D86" s="184" t="s">
        <v>2</v>
      </c>
      <c r="E86" s="423"/>
      <c r="F86" s="7"/>
      <c r="G86" s="6"/>
    </row>
    <row r="87" spans="1:7" s="2" customFormat="1" ht="15.6" customHeight="1" outlineLevel="1">
      <c r="A87" s="124" t="s">
        <v>377</v>
      </c>
      <c r="B87" s="133" t="s">
        <v>920</v>
      </c>
      <c r="C87" s="147"/>
      <c r="D87" s="184" t="s">
        <v>2</v>
      </c>
      <c r="E87" s="423"/>
      <c r="F87" s="7"/>
      <c r="G87" s="6"/>
    </row>
    <row r="88" spans="1:7" s="2" customFormat="1" ht="15.6" customHeight="1" outlineLevel="1">
      <c r="A88" s="124" t="s">
        <v>378</v>
      </c>
      <c r="B88" s="133" t="s">
        <v>921</v>
      </c>
      <c r="C88" s="147"/>
      <c r="D88" s="184" t="s">
        <v>2</v>
      </c>
      <c r="E88" s="423"/>
      <c r="F88" s="7"/>
      <c r="G88" s="6"/>
    </row>
    <row r="89" spans="1:7" s="2" customFormat="1" ht="15.6" customHeight="1" outlineLevel="1">
      <c r="A89" s="124" t="s">
        <v>379</v>
      </c>
      <c r="B89" s="133" t="s">
        <v>922</v>
      </c>
      <c r="C89" s="147"/>
      <c r="D89" s="184" t="s">
        <v>2</v>
      </c>
      <c r="E89" s="423"/>
      <c r="F89" s="7"/>
      <c r="G89" s="6"/>
    </row>
    <row r="90" spans="1:7" s="2" customFormat="1" ht="15.6" customHeight="1" outlineLevel="1">
      <c r="A90" s="124" t="s">
        <v>380</v>
      </c>
      <c r="B90" s="133" t="s">
        <v>923</v>
      </c>
      <c r="C90" s="133"/>
      <c r="D90" s="184" t="s">
        <v>2</v>
      </c>
      <c r="E90" s="423"/>
      <c r="F90" s="7"/>
      <c r="G90" s="6"/>
    </row>
    <row r="91" spans="1:7" s="2" customFormat="1" ht="22.15" customHeight="1" outlineLevel="1">
      <c r="A91" s="124" t="s">
        <v>381</v>
      </c>
      <c r="B91" s="133" t="s">
        <v>924</v>
      </c>
      <c r="C91" s="133"/>
      <c r="D91" s="184" t="s">
        <v>2</v>
      </c>
      <c r="E91" s="423"/>
      <c r="F91" s="7"/>
      <c r="G91" s="6"/>
    </row>
    <row r="92" spans="1:7" s="2" customFormat="1" ht="199.15" customHeight="1" outlineLevel="1">
      <c r="A92" s="158" t="s">
        <v>27</v>
      </c>
      <c r="B92" s="139" t="s">
        <v>926</v>
      </c>
      <c r="C92" s="140" t="s">
        <v>927</v>
      </c>
      <c r="D92" s="131"/>
      <c r="E92" s="328" t="s">
        <v>1236</v>
      </c>
    </row>
    <row r="93" spans="1:7" s="2" customFormat="1" ht="32.450000000000003" customHeight="1" outlineLevel="1">
      <c r="A93" s="159" t="s">
        <v>28</v>
      </c>
      <c r="B93" s="133" t="s">
        <v>916</v>
      </c>
      <c r="C93" s="133"/>
      <c r="D93" s="184" t="s">
        <v>2</v>
      </c>
      <c r="E93" s="423" t="s">
        <v>1372</v>
      </c>
      <c r="F93" s="7"/>
      <c r="G93" s="6"/>
    </row>
    <row r="94" spans="1:7" s="2" customFormat="1" ht="29.45" customHeight="1" outlineLevel="1">
      <c r="A94" s="159" t="s">
        <v>29</v>
      </c>
      <c r="B94" s="133" t="s">
        <v>917</v>
      </c>
      <c r="C94" s="133"/>
      <c r="D94" s="184" t="s">
        <v>2</v>
      </c>
      <c r="E94" s="423"/>
      <c r="F94" s="7"/>
      <c r="G94" s="6"/>
    </row>
    <row r="95" spans="1:7" s="2" customFormat="1" ht="29.45" customHeight="1" outlineLevel="1">
      <c r="A95" s="159" t="s">
        <v>30</v>
      </c>
      <c r="B95" s="133" t="s">
        <v>918</v>
      </c>
      <c r="C95" s="133"/>
      <c r="D95" s="184" t="s">
        <v>2</v>
      </c>
      <c r="E95" s="423"/>
      <c r="F95" s="7"/>
      <c r="G95" s="6"/>
    </row>
    <row r="96" spans="1:7" s="2" customFormat="1" ht="30.6" customHeight="1" outlineLevel="1">
      <c r="A96" s="159" t="s">
        <v>382</v>
      </c>
      <c r="B96" s="133" t="s">
        <v>919</v>
      </c>
      <c r="C96" s="133"/>
      <c r="D96" s="184" t="s">
        <v>2</v>
      </c>
      <c r="E96" s="423"/>
      <c r="F96" s="7"/>
      <c r="G96" s="6"/>
    </row>
    <row r="97" spans="1:7" s="2" customFormat="1" ht="30.6" customHeight="1" outlineLevel="1">
      <c r="A97" s="159" t="s">
        <v>383</v>
      </c>
      <c r="B97" s="133" t="s">
        <v>929</v>
      </c>
      <c r="C97" s="133"/>
      <c r="D97" s="184" t="s">
        <v>2</v>
      </c>
      <c r="E97" s="423"/>
      <c r="F97" s="7"/>
      <c r="G97" s="6"/>
    </row>
    <row r="98" spans="1:7" s="2" customFormat="1" ht="29.45" customHeight="1" outlineLevel="1">
      <c r="A98" s="159" t="s">
        <v>384</v>
      </c>
      <c r="B98" s="133" t="s">
        <v>921</v>
      </c>
      <c r="C98" s="133"/>
      <c r="D98" s="184" t="s">
        <v>2</v>
      </c>
      <c r="E98" s="423"/>
      <c r="F98" s="7"/>
      <c r="G98" s="6"/>
    </row>
    <row r="99" spans="1:7" s="2" customFormat="1" ht="32.450000000000003" customHeight="1" outlineLevel="1">
      <c r="A99" s="159" t="s">
        <v>385</v>
      </c>
      <c r="B99" s="133" t="s">
        <v>922</v>
      </c>
      <c r="C99" s="133"/>
      <c r="D99" s="184" t="s">
        <v>2</v>
      </c>
      <c r="E99" s="423"/>
      <c r="F99" s="7"/>
      <c r="G99" s="6"/>
    </row>
    <row r="100" spans="1:7" s="2" customFormat="1" ht="15.6" customHeight="1" outlineLevel="1">
      <c r="A100" s="159" t="s">
        <v>386</v>
      </c>
      <c r="B100" s="133" t="s">
        <v>923</v>
      </c>
      <c r="C100" s="133"/>
      <c r="D100" s="184" t="s">
        <v>2</v>
      </c>
      <c r="E100" s="423"/>
      <c r="F100" s="7"/>
      <c r="G100" s="6"/>
    </row>
    <row r="101" spans="1:7" s="2" customFormat="1" ht="15.6" customHeight="1" outlineLevel="1">
      <c r="A101" s="159" t="s">
        <v>387</v>
      </c>
      <c r="B101" s="133" t="s">
        <v>924</v>
      </c>
      <c r="C101" s="133"/>
      <c r="D101" s="184" t="s">
        <v>2</v>
      </c>
      <c r="E101" s="423"/>
      <c r="F101" s="7"/>
      <c r="G101" s="6"/>
    </row>
    <row r="102" spans="1:7" s="2" customFormat="1" ht="162.6" customHeight="1" outlineLevel="1">
      <c r="A102" s="158" t="s">
        <v>31</v>
      </c>
      <c r="B102" s="139" t="s">
        <v>1237</v>
      </c>
      <c r="C102" s="140" t="s">
        <v>931</v>
      </c>
      <c r="D102" s="131"/>
      <c r="E102" s="328" t="s">
        <v>1238</v>
      </c>
    </row>
    <row r="103" spans="1:7" s="2" customFormat="1" ht="15.6" customHeight="1" outlineLevel="1">
      <c r="A103" s="159" t="s">
        <v>505</v>
      </c>
      <c r="B103" s="133" t="s">
        <v>916</v>
      </c>
      <c r="C103" s="133"/>
      <c r="D103" s="135" t="s">
        <v>2</v>
      </c>
      <c r="E103" s="415" t="s">
        <v>1239</v>
      </c>
      <c r="F103" s="7"/>
      <c r="G103" s="6"/>
    </row>
    <row r="104" spans="1:7" s="2" customFormat="1" ht="15.6" customHeight="1" outlineLevel="1">
      <c r="A104" s="159" t="s">
        <v>506</v>
      </c>
      <c r="B104" s="133" t="s">
        <v>917</v>
      </c>
      <c r="C104" s="133"/>
      <c r="D104" s="135" t="s">
        <v>2</v>
      </c>
      <c r="E104" s="415"/>
      <c r="F104" s="7"/>
      <c r="G104" s="6"/>
    </row>
    <row r="105" spans="1:7" s="2" customFormat="1" ht="22.9" customHeight="1" outlineLevel="1">
      <c r="A105" s="159" t="s">
        <v>507</v>
      </c>
      <c r="B105" s="133" t="s">
        <v>918</v>
      </c>
      <c r="C105" s="133"/>
      <c r="D105" s="135" t="s">
        <v>2</v>
      </c>
      <c r="E105" s="415"/>
      <c r="F105" s="7"/>
      <c r="G105" s="6"/>
    </row>
    <row r="106" spans="1:7" s="2" customFormat="1" ht="24" customHeight="1" outlineLevel="1">
      <c r="A106" s="159" t="s">
        <v>509</v>
      </c>
      <c r="B106" s="133" t="s">
        <v>930</v>
      </c>
      <c r="C106" s="133"/>
      <c r="D106" s="135" t="s">
        <v>2</v>
      </c>
      <c r="E106" s="415"/>
      <c r="F106" s="7"/>
      <c r="G106" s="6"/>
    </row>
    <row r="107" spans="1:7" s="2" customFormat="1" ht="22.15" customHeight="1" outlineLevel="1">
      <c r="A107" s="159" t="s">
        <v>508</v>
      </c>
      <c r="B107" s="133" t="s">
        <v>929</v>
      </c>
      <c r="C107" s="133"/>
      <c r="D107" s="135" t="s">
        <v>2</v>
      </c>
      <c r="E107" s="415"/>
      <c r="F107" s="7"/>
      <c r="G107" s="6"/>
    </row>
    <row r="108" spans="1:7" s="2" customFormat="1" ht="21" customHeight="1" outlineLevel="1">
      <c r="A108" s="159" t="s">
        <v>510</v>
      </c>
      <c r="B108" s="133" t="s">
        <v>921</v>
      </c>
      <c r="C108" s="133"/>
      <c r="D108" s="135" t="s">
        <v>2</v>
      </c>
      <c r="E108" s="415"/>
      <c r="F108" s="7"/>
      <c r="G108" s="6"/>
    </row>
    <row r="109" spans="1:7" s="2" customFormat="1" ht="21" customHeight="1" outlineLevel="1">
      <c r="A109" s="159" t="s">
        <v>512</v>
      </c>
      <c r="B109" s="133" t="s">
        <v>922</v>
      </c>
      <c r="C109" s="133"/>
      <c r="D109" s="135" t="s">
        <v>2</v>
      </c>
      <c r="E109" s="415"/>
      <c r="F109" s="7"/>
      <c r="G109" s="6"/>
    </row>
    <row r="110" spans="1:7" s="2" customFormat="1" ht="20.45" customHeight="1" outlineLevel="1">
      <c r="A110" s="159" t="s">
        <v>511</v>
      </c>
      <c r="B110" s="133" t="s">
        <v>923</v>
      </c>
      <c r="C110" s="133"/>
      <c r="D110" s="135" t="s">
        <v>2</v>
      </c>
      <c r="E110" s="415"/>
      <c r="F110" s="7"/>
      <c r="G110" s="6"/>
    </row>
    <row r="111" spans="1:7" s="2" customFormat="1" ht="15.6" customHeight="1" outlineLevel="1">
      <c r="A111" s="159" t="s">
        <v>513</v>
      </c>
      <c r="B111" s="133" t="s">
        <v>924</v>
      </c>
      <c r="C111" s="133"/>
      <c r="D111" s="135" t="s">
        <v>2</v>
      </c>
      <c r="E111" s="415"/>
      <c r="F111" s="7"/>
      <c r="G111" s="6"/>
    </row>
    <row r="112" spans="1:7" s="2" customFormat="1" ht="81.599999999999994" customHeight="1" outlineLevel="1">
      <c r="A112" s="160" t="s">
        <v>32</v>
      </c>
      <c r="B112" s="139" t="s">
        <v>514</v>
      </c>
      <c r="C112" s="140" t="s">
        <v>716</v>
      </c>
      <c r="D112" s="131"/>
      <c r="E112" s="326" t="s">
        <v>1234</v>
      </c>
    </row>
    <row r="113" spans="1:5" s="2" customFormat="1" ht="15.6" customHeight="1" outlineLevel="1">
      <c r="A113" s="159" t="s">
        <v>765</v>
      </c>
      <c r="B113" s="161" t="s">
        <v>488</v>
      </c>
      <c r="C113" s="310"/>
      <c r="D113" s="94" t="s">
        <v>489</v>
      </c>
      <c r="E113" s="416" t="s">
        <v>1241</v>
      </c>
    </row>
    <row r="114" spans="1:5" s="2" customFormat="1" ht="15.6" customHeight="1" outlineLevel="1">
      <c r="A114" s="159" t="s">
        <v>766</v>
      </c>
      <c r="B114" s="161" t="s">
        <v>490</v>
      </c>
      <c r="C114" s="310"/>
      <c r="D114" s="94" t="s">
        <v>489</v>
      </c>
      <c r="E114" s="416"/>
    </row>
    <row r="115" spans="1:5" s="2" customFormat="1" ht="15.6" customHeight="1" outlineLevel="1">
      <c r="A115" s="159" t="s">
        <v>767</v>
      </c>
      <c r="B115" s="161" t="s">
        <v>491</v>
      </c>
      <c r="C115" s="310"/>
      <c r="D115" s="94" t="s">
        <v>489</v>
      </c>
      <c r="E115" s="416"/>
    </row>
    <row r="116" spans="1:5" s="2" customFormat="1" ht="15.6" customHeight="1" outlineLevel="1">
      <c r="A116" s="159" t="s">
        <v>768</v>
      </c>
      <c r="B116" s="161" t="s">
        <v>492</v>
      </c>
      <c r="C116" s="310"/>
      <c r="D116" s="94" t="s">
        <v>489</v>
      </c>
      <c r="E116" s="416"/>
    </row>
    <row r="117" spans="1:5" s="2" customFormat="1" ht="15.6" customHeight="1" outlineLevel="1">
      <c r="A117" s="159" t="s">
        <v>769</v>
      </c>
      <c r="B117" s="161" t="s">
        <v>493</v>
      </c>
      <c r="C117" s="310"/>
      <c r="D117" s="94" t="s">
        <v>489</v>
      </c>
      <c r="E117" s="416"/>
    </row>
    <row r="118" spans="1:5" s="2" customFormat="1" ht="15.6" customHeight="1" outlineLevel="1">
      <c r="A118" s="159" t="s">
        <v>770</v>
      </c>
      <c r="B118" s="161" t="s">
        <v>494</v>
      </c>
      <c r="C118" s="310"/>
      <c r="D118" s="94" t="s">
        <v>489</v>
      </c>
      <c r="E118" s="416"/>
    </row>
    <row r="119" spans="1:5" s="2" customFormat="1" ht="15.6" customHeight="1" outlineLevel="1">
      <c r="A119" s="159" t="s">
        <v>771</v>
      </c>
      <c r="B119" s="161" t="s">
        <v>495</v>
      </c>
      <c r="C119" s="310"/>
      <c r="D119" s="94" t="s">
        <v>489</v>
      </c>
      <c r="E119" s="416"/>
    </row>
    <row r="120" spans="1:5" s="2" customFormat="1" ht="15.6" customHeight="1" outlineLevel="1">
      <c r="A120" s="159" t="s">
        <v>772</v>
      </c>
      <c r="B120" s="161" t="s">
        <v>496</v>
      </c>
      <c r="C120" s="310"/>
      <c r="D120" s="94" t="s">
        <v>489</v>
      </c>
      <c r="E120" s="416"/>
    </row>
    <row r="121" spans="1:5" s="2" customFormat="1" ht="15.6" customHeight="1" outlineLevel="1">
      <c r="A121" s="159" t="s">
        <v>773</v>
      </c>
      <c r="B121" s="161" t="s">
        <v>497</v>
      </c>
      <c r="C121" s="310"/>
      <c r="D121" s="94" t="s">
        <v>489</v>
      </c>
      <c r="E121" s="416"/>
    </row>
    <row r="122" spans="1:5" s="2" customFormat="1" ht="15.6" customHeight="1" outlineLevel="1">
      <c r="A122" s="159" t="s">
        <v>774</v>
      </c>
      <c r="B122" s="161" t="s">
        <v>498</v>
      </c>
      <c r="C122" s="310"/>
      <c r="D122" s="94" t="s">
        <v>489</v>
      </c>
      <c r="E122" s="416"/>
    </row>
    <row r="123" spans="1:5" s="2" customFormat="1" ht="31.15" customHeight="1" outlineLevel="1">
      <c r="A123" s="162" t="s">
        <v>33</v>
      </c>
      <c r="B123" s="133" t="s">
        <v>95</v>
      </c>
      <c r="C123" s="133" t="s">
        <v>96</v>
      </c>
      <c r="D123" s="135" t="s">
        <v>61</v>
      </c>
      <c r="E123" s="329" t="s">
        <v>1240</v>
      </c>
    </row>
    <row r="124" spans="1:5" s="2" customFormat="1" ht="111" customHeight="1" outlineLevel="1">
      <c r="A124" s="162" t="s">
        <v>775</v>
      </c>
      <c r="B124" s="133" t="s">
        <v>97</v>
      </c>
      <c r="C124" s="133" t="s">
        <v>90</v>
      </c>
      <c r="D124" s="135" t="s">
        <v>61</v>
      </c>
      <c r="E124" s="330" t="s">
        <v>1245</v>
      </c>
    </row>
    <row r="125" spans="1:5" s="2" customFormat="1" ht="84.6" customHeight="1" outlineLevel="1">
      <c r="A125" s="162" t="s">
        <v>34</v>
      </c>
      <c r="B125" s="133" t="s">
        <v>792</v>
      </c>
      <c r="C125" s="133" t="s">
        <v>932</v>
      </c>
      <c r="D125" s="135" t="s">
        <v>489</v>
      </c>
      <c r="E125" s="330" t="s">
        <v>1246</v>
      </c>
    </row>
    <row r="126" spans="1:5" s="2" customFormat="1" ht="32.25" customHeight="1" outlineLevel="1">
      <c r="A126" s="158" t="s">
        <v>776</v>
      </c>
      <c r="B126" s="139" t="s">
        <v>515</v>
      </c>
      <c r="C126" s="140"/>
      <c r="D126" s="131"/>
      <c r="E126" s="331"/>
    </row>
    <row r="127" spans="1:5" s="2" customFormat="1" ht="156" customHeight="1" outlineLevel="1">
      <c r="A127" s="164" t="s">
        <v>777</v>
      </c>
      <c r="B127" s="165" t="s">
        <v>937</v>
      </c>
      <c r="C127" s="166" t="s">
        <v>628</v>
      </c>
      <c r="D127" s="167" t="s">
        <v>67</v>
      </c>
      <c r="E127" s="332" t="s">
        <v>1247</v>
      </c>
    </row>
    <row r="128" spans="1:5" s="2" customFormat="1" ht="157.9" customHeight="1" outlineLevel="1">
      <c r="A128" s="164" t="s">
        <v>778</v>
      </c>
      <c r="B128" s="165" t="s">
        <v>938</v>
      </c>
      <c r="C128" s="166" t="s">
        <v>628</v>
      </c>
      <c r="D128" s="167" t="s">
        <v>67</v>
      </c>
      <c r="E128" s="332" t="s">
        <v>1250</v>
      </c>
    </row>
    <row r="129" spans="1:10" s="2" customFormat="1" ht="96" customHeight="1" outlineLevel="1">
      <c r="A129" s="164" t="s">
        <v>779</v>
      </c>
      <c r="B129" s="166" t="s">
        <v>939</v>
      </c>
      <c r="C129" s="166" t="s">
        <v>627</v>
      </c>
      <c r="D129" s="167"/>
      <c r="E129" s="416" t="s">
        <v>1248</v>
      </c>
    </row>
    <row r="130" spans="1:10" s="2" customFormat="1" ht="30" customHeight="1" outlineLevel="1">
      <c r="A130" s="171" t="s">
        <v>780</v>
      </c>
      <c r="B130" s="166" t="s">
        <v>933</v>
      </c>
      <c r="C130" s="166"/>
      <c r="D130" s="167" t="s">
        <v>67</v>
      </c>
      <c r="E130" s="416"/>
    </row>
    <row r="131" spans="1:10" s="2" customFormat="1" ht="30" customHeight="1" outlineLevel="1">
      <c r="A131" s="171" t="s">
        <v>781</v>
      </c>
      <c r="B131" s="166" t="s">
        <v>934</v>
      </c>
      <c r="C131" s="166"/>
      <c r="D131" s="167" t="s">
        <v>67</v>
      </c>
      <c r="E131" s="416"/>
    </row>
    <row r="132" spans="1:10" s="2" customFormat="1" ht="30" customHeight="1" outlineLevel="1">
      <c r="A132" s="171" t="s">
        <v>782</v>
      </c>
      <c r="B132" s="166" t="s">
        <v>935</v>
      </c>
      <c r="C132" s="166"/>
      <c r="D132" s="167" t="s">
        <v>67</v>
      </c>
      <c r="E132" s="416"/>
    </row>
    <row r="133" spans="1:10" s="2" customFormat="1" ht="102.6" customHeight="1" outlineLevel="1">
      <c r="A133" s="164" t="s">
        <v>783</v>
      </c>
      <c r="B133" s="166" t="s">
        <v>940</v>
      </c>
      <c r="C133" s="166" t="s">
        <v>627</v>
      </c>
      <c r="D133" s="167"/>
      <c r="E133" s="417" t="s">
        <v>1249</v>
      </c>
    </row>
    <row r="134" spans="1:10" s="2" customFormat="1" ht="31.5" customHeight="1" outlineLevel="1">
      <c r="A134" s="171" t="s">
        <v>784</v>
      </c>
      <c r="B134" s="166" t="s">
        <v>936</v>
      </c>
      <c r="C134" s="166"/>
      <c r="D134" s="167" t="s">
        <v>67</v>
      </c>
      <c r="E134" s="418"/>
    </row>
    <row r="135" spans="1:10" s="2" customFormat="1" ht="31.5" customHeight="1" outlineLevel="1">
      <c r="A135" s="171" t="s">
        <v>785</v>
      </c>
      <c r="B135" s="166" t="s">
        <v>934</v>
      </c>
      <c r="C135" s="166"/>
      <c r="D135" s="167" t="s">
        <v>67</v>
      </c>
      <c r="E135" s="418"/>
    </row>
    <row r="136" spans="1:10" s="2" customFormat="1" ht="31.5" customHeight="1" outlineLevel="1">
      <c r="A136" s="171" t="s">
        <v>786</v>
      </c>
      <c r="B136" s="166" t="s">
        <v>935</v>
      </c>
      <c r="C136" s="166"/>
      <c r="D136" s="167" t="s">
        <v>67</v>
      </c>
      <c r="E136" s="418"/>
    </row>
    <row r="137" spans="1:10" s="2" customFormat="1" ht="102" customHeight="1" outlineLevel="1">
      <c r="A137" s="164" t="s">
        <v>787</v>
      </c>
      <c r="B137" s="166" t="s">
        <v>941</v>
      </c>
      <c r="C137" s="166" t="s">
        <v>627</v>
      </c>
      <c r="D137" s="167"/>
      <c r="E137" s="417" t="s">
        <v>1251</v>
      </c>
    </row>
    <row r="138" spans="1:10" s="2" customFormat="1" ht="30" customHeight="1" outlineLevel="1">
      <c r="A138" s="171" t="s">
        <v>788</v>
      </c>
      <c r="B138" s="166" t="s">
        <v>936</v>
      </c>
      <c r="C138" s="166"/>
      <c r="D138" s="167" t="s">
        <v>67</v>
      </c>
      <c r="E138" s="418"/>
    </row>
    <row r="139" spans="1:10" s="2" customFormat="1" ht="30" customHeight="1" outlineLevel="1">
      <c r="A139" s="171" t="s">
        <v>789</v>
      </c>
      <c r="B139" s="166" t="s">
        <v>934</v>
      </c>
      <c r="C139" s="166"/>
      <c r="D139" s="167" t="s">
        <v>67</v>
      </c>
      <c r="E139" s="418"/>
    </row>
    <row r="140" spans="1:10" s="2" customFormat="1" ht="30" customHeight="1" outlineLevel="1">
      <c r="A140" s="171" t="s">
        <v>790</v>
      </c>
      <c r="B140" s="166" t="s">
        <v>935</v>
      </c>
      <c r="C140" s="166"/>
      <c r="D140" s="167" t="s">
        <v>67</v>
      </c>
      <c r="E140" s="418"/>
    </row>
    <row r="141" spans="1:10" s="2" customFormat="1" ht="98.45" customHeight="1" outlineLevel="1">
      <c r="A141" s="395" t="s">
        <v>942</v>
      </c>
      <c r="B141" s="396"/>
      <c r="C141" s="396"/>
      <c r="D141" s="396"/>
      <c r="E141" s="396"/>
    </row>
    <row r="142" spans="1:10" s="2" customFormat="1" ht="26.25" customHeight="1">
      <c r="A142" s="378" t="s">
        <v>750</v>
      </c>
      <c r="B142" s="378"/>
      <c r="C142" s="378"/>
      <c r="D142" s="378"/>
      <c r="E142" s="378"/>
    </row>
    <row r="143" spans="1:10" s="2" customFormat="1" ht="22.5" customHeight="1" outlineLevel="1">
      <c r="A143" s="384" t="s">
        <v>363</v>
      </c>
      <c r="B143" s="384"/>
      <c r="C143" s="384"/>
      <c r="D143" s="384"/>
      <c r="E143" s="384"/>
      <c r="F143" s="13"/>
      <c r="J143" s="13"/>
    </row>
    <row r="144" spans="1:10" s="2" customFormat="1" ht="251.45" customHeight="1" outlineLevel="1">
      <c r="A144" s="177" t="s">
        <v>71</v>
      </c>
      <c r="B144" s="165" t="s">
        <v>944</v>
      </c>
      <c r="C144" s="165" t="s">
        <v>945</v>
      </c>
      <c r="D144" s="167" t="s">
        <v>2</v>
      </c>
      <c r="E144" s="332" t="s">
        <v>1255</v>
      </c>
      <c r="F144" s="16"/>
      <c r="G144" s="12"/>
      <c r="H144" s="14"/>
      <c r="J144" s="13"/>
    </row>
    <row r="145" spans="1:10" s="2" customFormat="1" ht="76.150000000000006" customHeight="1" outlineLevel="1">
      <c r="A145" s="177" t="s">
        <v>72</v>
      </c>
      <c r="B145" s="166" t="s">
        <v>946</v>
      </c>
      <c r="C145" s="166" t="s">
        <v>619</v>
      </c>
      <c r="D145" s="167" t="s">
        <v>16</v>
      </c>
      <c r="E145" s="332" t="s">
        <v>1252</v>
      </c>
      <c r="F145" s="7"/>
      <c r="G145" s="12"/>
    </row>
    <row r="146" spans="1:10" s="2" customFormat="1" ht="83.25" customHeight="1" outlineLevel="1">
      <c r="A146" s="177" t="s">
        <v>73</v>
      </c>
      <c r="B146" s="166" t="s">
        <v>105</v>
      </c>
      <c r="C146" s="166" t="s">
        <v>947</v>
      </c>
      <c r="D146" s="167" t="s">
        <v>16</v>
      </c>
      <c r="E146" s="332" t="s">
        <v>1253</v>
      </c>
      <c r="F146" s="17"/>
      <c r="G146" s="12"/>
      <c r="H146" s="14"/>
      <c r="J146" s="13"/>
    </row>
    <row r="147" spans="1:10" s="2" customFormat="1" ht="127.15" customHeight="1" outlineLevel="1">
      <c r="A147" s="177" t="s">
        <v>75</v>
      </c>
      <c r="B147" s="166" t="s">
        <v>813</v>
      </c>
      <c r="C147" s="166" t="s">
        <v>948</v>
      </c>
      <c r="D147" s="167" t="s">
        <v>16</v>
      </c>
      <c r="E147" s="332" t="s">
        <v>1254</v>
      </c>
      <c r="F147" s="15"/>
      <c r="G147" s="6"/>
    </row>
    <row r="148" spans="1:10" s="2" customFormat="1" ht="93.6" customHeight="1" outlineLevel="1">
      <c r="A148" s="178" t="s">
        <v>76</v>
      </c>
      <c r="B148" s="179" t="s">
        <v>949</v>
      </c>
      <c r="C148" s="179" t="s">
        <v>624</v>
      </c>
      <c r="D148" s="180" t="s">
        <v>145</v>
      </c>
      <c r="E148" s="423" t="s">
        <v>1257</v>
      </c>
    </row>
    <row r="149" spans="1:10" s="2" customFormat="1" ht="31.15" customHeight="1" outlineLevel="1">
      <c r="A149" s="92" t="s">
        <v>265</v>
      </c>
      <c r="B149" s="166" t="s">
        <v>950</v>
      </c>
      <c r="C149" s="166"/>
      <c r="D149" s="183" t="s">
        <v>145</v>
      </c>
      <c r="E149" s="423"/>
      <c r="F149" s="7"/>
      <c r="G149" s="6"/>
    </row>
    <row r="150" spans="1:10" s="2" customFormat="1" ht="31.15" customHeight="1" outlineLevel="1">
      <c r="A150" s="92" t="s">
        <v>266</v>
      </c>
      <c r="B150" s="166" t="s">
        <v>951</v>
      </c>
      <c r="C150" s="166"/>
      <c r="D150" s="183" t="s">
        <v>145</v>
      </c>
      <c r="E150" s="423"/>
      <c r="F150" s="7"/>
      <c r="G150" s="6"/>
    </row>
    <row r="151" spans="1:10" s="2" customFormat="1" ht="62.45" customHeight="1" outlineLevel="1">
      <c r="A151" s="178" t="s">
        <v>77</v>
      </c>
      <c r="B151" s="179" t="s">
        <v>521</v>
      </c>
      <c r="C151" s="179" t="s">
        <v>620</v>
      </c>
      <c r="D151" s="180" t="s">
        <v>145</v>
      </c>
      <c r="E151" s="423" t="s">
        <v>1256</v>
      </c>
    </row>
    <row r="152" spans="1:10" s="2" customFormat="1" ht="31.15" customHeight="1" outlineLevel="1">
      <c r="A152" s="92" t="s">
        <v>554</v>
      </c>
      <c r="B152" s="133" t="s">
        <v>950</v>
      </c>
      <c r="C152" s="133"/>
      <c r="D152" s="184" t="s">
        <v>145</v>
      </c>
      <c r="E152" s="423"/>
      <c r="F152" s="7"/>
    </row>
    <row r="153" spans="1:10" s="2" customFormat="1" ht="31.15" customHeight="1" outlineLevel="1">
      <c r="A153" s="92" t="s">
        <v>555</v>
      </c>
      <c r="B153" s="133" t="s">
        <v>951</v>
      </c>
      <c r="C153" s="133"/>
      <c r="D153" s="184" t="s">
        <v>145</v>
      </c>
      <c r="E153" s="423"/>
      <c r="F153" s="7"/>
    </row>
    <row r="154" spans="1:10" s="2" customFormat="1" ht="96.75" customHeight="1" outlineLevel="1">
      <c r="A154" s="178" t="s">
        <v>78</v>
      </c>
      <c r="B154" s="179" t="s">
        <v>952</v>
      </c>
      <c r="C154" s="179" t="s">
        <v>661</v>
      </c>
      <c r="D154" s="180" t="s">
        <v>145</v>
      </c>
      <c r="E154" s="423" t="s">
        <v>1258</v>
      </c>
      <c r="F154" s="7"/>
    </row>
    <row r="155" spans="1:10" s="2" customFormat="1" ht="33" customHeight="1" outlineLevel="1">
      <c r="A155" s="92" t="s">
        <v>679</v>
      </c>
      <c r="B155" s="165" t="s">
        <v>953</v>
      </c>
      <c r="C155" s="165"/>
      <c r="D155" s="184" t="s">
        <v>145</v>
      </c>
      <c r="E155" s="423"/>
      <c r="F155" s="7"/>
    </row>
    <row r="156" spans="1:10" s="2" customFormat="1" ht="33" customHeight="1" outlineLevel="1">
      <c r="A156" s="92" t="s">
        <v>680</v>
      </c>
      <c r="B156" s="165" t="s">
        <v>954</v>
      </c>
      <c r="C156" s="165"/>
      <c r="D156" s="184" t="s">
        <v>145</v>
      </c>
      <c r="E156" s="423"/>
      <c r="F156" s="7"/>
    </row>
    <row r="157" spans="1:10" s="2" customFormat="1" ht="69.75" customHeight="1" outlineLevel="1">
      <c r="A157" s="177" t="s">
        <v>79</v>
      </c>
      <c r="B157" s="133" t="s">
        <v>955</v>
      </c>
      <c r="C157" s="133" t="s">
        <v>102</v>
      </c>
      <c r="D157" s="135" t="s">
        <v>36</v>
      </c>
      <c r="E157" s="423" t="s">
        <v>1259</v>
      </c>
    </row>
    <row r="158" spans="1:10" s="2" customFormat="1" ht="62.45" customHeight="1" outlineLevel="1">
      <c r="A158" s="177" t="s">
        <v>80</v>
      </c>
      <c r="B158" s="133" t="s">
        <v>956</v>
      </c>
      <c r="C158" s="133" t="s">
        <v>103</v>
      </c>
      <c r="D158" s="135" t="s">
        <v>36</v>
      </c>
      <c r="E158" s="423"/>
    </row>
    <row r="159" spans="1:10" s="2" customFormat="1" ht="62.45" customHeight="1" outlineLevel="1">
      <c r="A159" s="177" t="s">
        <v>81</v>
      </c>
      <c r="B159" s="133" t="s">
        <v>957</v>
      </c>
      <c r="C159" s="133" t="s">
        <v>92</v>
      </c>
      <c r="D159" s="135" t="s">
        <v>36</v>
      </c>
      <c r="E159" s="423"/>
    </row>
    <row r="160" spans="1:10" s="2" customFormat="1" ht="62.45" customHeight="1" outlineLevel="1">
      <c r="A160" s="177" t="s">
        <v>82</v>
      </c>
      <c r="B160" s="133" t="s">
        <v>958</v>
      </c>
      <c r="C160" s="133" t="s">
        <v>93</v>
      </c>
      <c r="D160" s="135" t="s">
        <v>36</v>
      </c>
      <c r="E160" s="423"/>
    </row>
    <row r="161" spans="1:8" s="2" customFormat="1" ht="62.45" customHeight="1" outlineLevel="1">
      <c r="A161" s="177" t="s">
        <v>83</v>
      </c>
      <c r="B161" s="133" t="s">
        <v>959</v>
      </c>
      <c r="C161" s="133" t="s">
        <v>94</v>
      </c>
      <c r="D161" s="135" t="s">
        <v>36</v>
      </c>
      <c r="E161" s="423"/>
    </row>
    <row r="162" spans="1:8" s="2" customFormat="1" ht="60.75" customHeight="1" outlineLevel="1">
      <c r="A162" s="177" t="s">
        <v>84</v>
      </c>
      <c r="B162" s="166" t="s">
        <v>1268</v>
      </c>
      <c r="C162" s="166" t="s">
        <v>519</v>
      </c>
      <c r="D162" s="167" t="s">
        <v>36</v>
      </c>
      <c r="E162" s="423"/>
    </row>
    <row r="163" spans="1:8" s="2" customFormat="1" ht="118.15" customHeight="1" outlineLevel="1">
      <c r="A163" s="177" t="s">
        <v>85</v>
      </c>
      <c r="B163" s="133" t="s">
        <v>47</v>
      </c>
      <c r="C163" s="133" t="s">
        <v>100</v>
      </c>
      <c r="D163" s="135" t="s">
        <v>36</v>
      </c>
      <c r="E163" s="332" t="s">
        <v>1260</v>
      </c>
    </row>
    <row r="164" spans="1:8" s="2" customFormat="1" ht="117" customHeight="1" outlineLevel="1">
      <c r="A164" s="177" t="s">
        <v>86</v>
      </c>
      <c r="B164" s="310" t="s">
        <v>104</v>
      </c>
      <c r="C164" s="310" t="s">
        <v>615</v>
      </c>
      <c r="D164" s="186" t="s">
        <v>88</v>
      </c>
      <c r="E164" s="332" t="s">
        <v>1262</v>
      </c>
    </row>
    <row r="165" spans="1:8" s="2" customFormat="1" ht="111" customHeight="1" outlineLevel="1">
      <c r="A165" s="177" t="s">
        <v>123</v>
      </c>
      <c r="B165" s="310" t="s">
        <v>590</v>
      </c>
      <c r="C165" s="310" t="s">
        <v>616</v>
      </c>
      <c r="D165" s="186" t="s">
        <v>88</v>
      </c>
      <c r="E165" s="332" t="s">
        <v>1261</v>
      </c>
    </row>
    <row r="166" spans="1:8" s="2" customFormat="1" ht="139.9" customHeight="1" outlineLevel="1">
      <c r="A166" s="177" t="s">
        <v>124</v>
      </c>
      <c r="B166" s="310" t="s">
        <v>591</v>
      </c>
      <c r="C166" s="310" t="s">
        <v>838</v>
      </c>
      <c r="D166" s="94" t="s">
        <v>88</v>
      </c>
      <c r="E166" s="333" t="s">
        <v>1263</v>
      </c>
    </row>
    <row r="167" spans="1:8" s="2" customFormat="1" ht="177" customHeight="1" outlineLevel="1">
      <c r="A167" s="177" t="s">
        <v>126</v>
      </c>
      <c r="B167" s="310" t="s">
        <v>617</v>
      </c>
      <c r="C167" s="310" t="s">
        <v>960</v>
      </c>
      <c r="D167" s="94" t="s">
        <v>88</v>
      </c>
      <c r="E167" s="333" t="s">
        <v>1266</v>
      </c>
    </row>
    <row r="168" spans="1:8" s="2" customFormat="1" ht="103.15" customHeight="1" outlineLevel="1">
      <c r="A168" s="177" t="s">
        <v>129</v>
      </c>
      <c r="B168" s="310" t="s">
        <v>520</v>
      </c>
      <c r="C168" s="310" t="s">
        <v>746</v>
      </c>
      <c r="D168" s="94" t="s">
        <v>36</v>
      </c>
      <c r="E168" s="330" t="s">
        <v>1267</v>
      </c>
    </row>
    <row r="169" spans="1:8" s="2" customFormat="1" ht="145.15" customHeight="1" outlineLevel="1">
      <c r="A169" s="178" t="s">
        <v>132</v>
      </c>
      <c r="B169" s="140" t="s">
        <v>961</v>
      </c>
      <c r="C169" s="179" t="s">
        <v>843</v>
      </c>
      <c r="D169" s="131" t="s">
        <v>49</v>
      </c>
      <c r="E169" s="423" t="s">
        <v>1269</v>
      </c>
    </row>
    <row r="170" spans="1:8" s="2" customFormat="1" ht="19.5" customHeight="1" outlineLevel="1">
      <c r="A170" s="190" t="s">
        <v>644</v>
      </c>
      <c r="B170" s="36" t="s">
        <v>718</v>
      </c>
      <c r="C170" s="191"/>
      <c r="D170" s="135" t="s">
        <v>49</v>
      </c>
      <c r="E170" s="423"/>
    </row>
    <row r="171" spans="1:8" s="2" customFormat="1" ht="19.5" customHeight="1" outlineLevel="1">
      <c r="A171" s="190" t="s">
        <v>645</v>
      </c>
      <c r="B171" s="133" t="s">
        <v>842</v>
      </c>
      <c r="C171" s="133"/>
      <c r="D171" s="135" t="s">
        <v>49</v>
      </c>
      <c r="E171" s="423"/>
    </row>
    <row r="172" spans="1:8" s="2" customFormat="1" ht="19.5" customHeight="1" outlineLevel="1">
      <c r="A172" s="190" t="s">
        <v>646</v>
      </c>
      <c r="B172" s="133" t="s">
        <v>805</v>
      </c>
      <c r="C172" s="133"/>
      <c r="D172" s="135" t="s">
        <v>49</v>
      </c>
      <c r="E172" s="423"/>
    </row>
    <row r="173" spans="1:8" s="2" customFormat="1" ht="23.25" customHeight="1" outlineLevel="1">
      <c r="A173" s="190" t="s">
        <v>807</v>
      </c>
      <c r="B173" s="133" t="s">
        <v>806</v>
      </c>
      <c r="C173" s="133"/>
      <c r="D173" s="135" t="s">
        <v>49</v>
      </c>
      <c r="E173" s="423"/>
    </row>
    <row r="174" spans="1:8" s="2" customFormat="1" ht="95.45" customHeight="1" outlineLevel="1">
      <c r="A174" s="192" t="s">
        <v>134</v>
      </c>
      <c r="B174" s="133" t="s">
        <v>592</v>
      </c>
      <c r="C174" s="133" t="s">
        <v>755</v>
      </c>
      <c r="D174" s="135" t="s">
        <v>49</v>
      </c>
      <c r="E174" s="332" t="s">
        <v>1270</v>
      </c>
      <c r="H174" s="5"/>
    </row>
    <row r="175" spans="1:8" s="2" customFormat="1" ht="59.25" customHeight="1" outlineLevel="1">
      <c r="A175" s="192" t="s">
        <v>143</v>
      </c>
      <c r="B175" s="133" t="s">
        <v>963</v>
      </c>
      <c r="C175" s="133" t="s">
        <v>19</v>
      </c>
      <c r="D175" s="135" t="s">
        <v>2</v>
      </c>
      <c r="E175" s="330" t="s">
        <v>1271</v>
      </c>
    </row>
    <row r="176" spans="1:8" s="2" customFormat="1" ht="194.45" customHeight="1" outlineLevel="1">
      <c r="A176" s="192" t="s">
        <v>522</v>
      </c>
      <c r="B176" s="133" t="s">
        <v>964</v>
      </c>
      <c r="C176" s="133" t="s">
        <v>962</v>
      </c>
      <c r="D176" s="135" t="s">
        <v>36</v>
      </c>
      <c r="E176" s="332" t="s">
        <v>1272</v>
      </c>
      <c r="F176" s="397"/>
    </row>
    <row r="177" spans="1:6" s="2" customFormat="1" ht="214.9" customHeight="1" outlineLevel="1">
      <c r="A177" s="192" t="s">
        <v>523</v>
      </c>
      <c r="B177" s="133" t="s">
        <v>967</v>
      </c>
      <c r="C177" s="133" t="s">
        <v>837</v>
      </c>
      <c r="D177" s="135" t="s">
        <v>826</v>
      </c>
      <c r="E177" s="330" t="s">
        <v>1273</v>
      </c>
      <c r="F177" s="397"/>
    </row>
    <row r="178" spans="1:6" s="2" customFormat="1" ht="78" customHeight="1" outlineLevel="1">
      <c r="A178" s="192" t="s">
        <v>524</v>
      </c>
      <c r="B178" s="133" t="s">
        <v>825</v>
      </c>
      <c r="C178" s="133" t="s">
        <v>827</v>
      </c>
      <c r="D178" s="135" t="s">
        <v>36</v>
      </c>
      <c r="E178" s="332" t="s">
        <v>1274</v>
      </c>
      <c r="F178" s="397"/>
    </row>
    <row r="179" spans="1:6" s="2" customFormat="1" ht="94.5" customHeight="1" outlineLevel="1">
      <c r="A179" s="192" t="s">
        <v>588</v>
      </c>
      <c r="B179" s="133" t="s">
        <v>41</v>
      </c>
      <c r="C179" s="133" t="s">
        <v>526</v>
      </c>
      <c r="D179" s="135" t="s">
        <v>42</v>
      </c>
      <c r="E179" s="332" t="s">
        <v>1275</v>
      </c>
    </row>
    <row r="180" spans="1:6" s="2" customFormat="1" ht="39.75" customHeight="1" outlineLevel="1">
      <c r="A180" s="193" t="s">
        <v>600</v>
      </c>
      <c r="B180" s="66" t="s">
        <v>48</v>
      </c>
      <c r="C180" s="66" t="s">
        <v>108</v>
      </c>
      <c r="D180" s="88"/>
      <c r="E180" s="423" t="s">
        <v>1276</v>
      </c>
    </row>
    <row r="181" spans="1:6" s="2" customFormat="1" ht="39.75" customHeight="1" outlineLevel="1">
      <c r="A181" s="190" t="s">
        <v>835</v>
      </c>
      <c r="B181" s="133" t="s">
        <v>834</v>
      </c>
      <c r="C181" s="133"/>
      <c r="D181" s="135" t="s">
        <v>3</v>
      </c>
      <c r="E181" s="423"/>
    </row>
    <row r="182" spans="1:6" s="2" customFormat="1" ht="39.75" customHeight="1" outlineLevel="1">
      <c r="A182" s="190" t="s">
        <v>836</v>
      </c>
      <c r="B182" s="133" t="s">
        <v>91</v>
      </c>
      <c r="C182" s="133"/>
      <c r="D182" s="135" t="s">
        <v>3</v>
      </c>
      <c r="E182" s="423"/>
    </row>
    <row r="183" spans="1:6" s="2" customFormat="1" ht="95.45" customHeight="1" outlineLevel="1">
      <c r="A183" s="192" t="s">
        <v>601</v>
      </c>
      <c r="B183" s="138" t="s">
        <v>267</v>
      </c>
      <c r="C183" s="138" t="s">
        <v>968</v>
      </c>
      <c r="D183" s="196" t="s">
        <v>5</v>
      </c>
      <c r="E183" s="334" t="s">
        <v>1277</v>
      </c>
    </row>
    <row r="184" spans="1:6" s="2" customFormat="1" ht="195.6" customHeight="1" outlineLevel="1">
      <c r="A184" s="192" t="s">
        <v>602</v>
      </c>
      <c r="B184" s="197" t="s">
        <v>969</v>
      </c>
      <c r="C184" s="166" t="s">
        <v>971</v>
      </c>
      <c r="D184" s="196" t="s">
        <v>5</v>
      </c>
      <c r="E184" s="335" t="s">
        <v>1371</v>
      </c>
    </row>
    <row r="185" spans="1:6" s="2" customFormat="1" ht="128.44999999999999" customHeight="1" outlineLevel="1">
      <c r="A185" s="192" t="s">
        <v>614</v>
      </c>
      <c r="B185" s="197" t="s">
        <v>970</v>
      </c>
      <c r="C185" s="166" t="s">
        <v>972</v>
      </c>
      <c r="D185" s="196" t="s">
        <v>5</v>
      </c>
      <c r="E185" s="335" t="s">
        <v>1370</v>
      </c>
    </row>
    <row r="186" spans="1:6" s="2" customFormat="1" ht="183" customHeight="1" outlineLevel="1">
      <c r="A186" s="192" t="s">
        <v>625</v>
      </c>
      <c r="B186" s="197" t="s">
        <v>1278</v>
      </c>
      <c r="C186" s="166" t="s">
        <v>973</v>
      </c>
      <c r="D186" s="196" t="s">
        <v>5</v>
      </c>
      <c r="E186" s="334" t="s">
        <v>1369</v>
      </c>
    </row>
    <row r="187" spans="1:6" s="2" customFormat="1" ht="164.45" customHeight="1" outlineLevel="1">
      <c r="A187" s="192" t="s">
        <v>647</v>
      </c>
      <c r="B187" s="198" t="s">
        <v>1280</v>
      </c>
      <c r="C187" s="166" t="s">
        <v>974</v>
      </c>
      <c r="D187" s="167" t="s">
        <v>4</v>
      </c>
      <c r="E187" s="335" t="s">
        <v>1368</v>
      </c>
    </row>
    <row r="188" spans="1:6" s="2" customFormat="1" ht="58.9" customHeight="1" outlineLevel="1">
      <c r="A188" s="192" t="s">
        <v>828</v>
      </c>
      <c r="B188" s="133" t="s">
        <v>57</v>
      </c>
      <c r="C188" s="133" t="s">
        <v>58</v>
      </c>
      <c r="D188" s="135" t="s">
        <v>54</v>
      </c>
      <c r="E188" s="332" t="s">
        <v>1281</v>
      </c>
    </row>
    <row r="189" spans="1:6" s="2" customFormat="1" ht="115.15" customHeight="1" outlineLevel="1">
      <c r="A189" s="398" t="s">
        <v>847</v>
      </c>
      <c r="B189" s="399"/>
      <c r="C189" s="399"/>
      <c r="D189" s="399"/>
      <c r="E189" s="399"/>
    </row>
    <row r="190" spans="1:6" s="2" customFormat="1" ht="43.15" customHeight="1">
      <c r="A190" s="378" t="s">
        <v>975</v>
      </c>
      <c r="B190" s="378"/>
      <c r="C190" s="378"/>
      <c r="D190" s="378"/>
      <c r="E190" s="378"/>
    </row>
    <row r="191" spans="1:6" s="2" customFormat="1" ht="29.25" customHeight="1" outlineLevel="1">
      <c r="A191" s="384" t="s">
        <v>483</v>
      </c>
      <c r="B191" s="384"/>
      <c r="C191" s="384"/>
      <c r="D191" s="199"/>
      <c r="E191" s="336"/>
    </row>
    <row r="192" spans="1:6" s="2" customFormat="1" ht="72.75" customHeight="1" outlineLevel="1">
      <c r="A192" s="99" t="s">
        <v>268</v>
      </c>
      <c r="B192" s="201" t="s">
        <v>978</v>
      </c>
      <c r="C192" s="202" t="s">
        <v>664</v>
      </c>
      <c r="D192" s="203" t="s">
        <v>54</v>
      </c>
      <c r="E192" s="417" t="s">
        <v>1282</v>
      </c>
    </row>
    <row r="193" spans="1:6" s="2" customFormat="1" ht="69" customHeight="1" outlineLevel="1">
      <c r="A193" s="99" t="s">
        <v>269</v>
      </c>
      <c r="B193" s="201" t="s">
        <v>980</v>
      </c>
      <c r="C193" s="202" t="s">
        <v>664</v>
      </c>
      <c r="D193" s="130" t="s">
        <v>54</v>
      </c>
      <c r="E193" s="417"/>
    </row>
    <row r="194" spans="1:6" s="2" customFormat="1" ht="90.75" customHeight="1" outlineLevel="1">
      <c r="A194" s="99" t="s">
        <v>270</v>
      </c>
      <c r="B194" s="133" t="s">
        <v>981</v>
      </c>
      <c r="C194" s="202" t="s">
        <v>664</v>
      </c>
      <c r="D194" s="135" t="s">
        <v>54</v>
      </c>
      <c r="E194" s="417"/>
    </row>
    <row r="195" spans="1:6" s="2" customFormat="1" ht="128.44999999999999" customHeight="1" outlineLevel="1">
      <c r="A195" s="99" t="s">
        <v>271</v>
      </c>
      <c r="B195" s="201" t="s">
        <v>741</v>
      </c>
      <c r="C195" s="165" t="s">
        <v>711</v>
      </c>
      <c r="D195" s="130" t="s">
        <v>54</v>
      </c>
      <c r="E195" s="334" t="s">
        <v>1283</v>
      </c>
    </row>
    <row r="196" spans="1:6" s="2" customFormat="1" ht="112.15" customHeight="1" outlineLevel="1">
      <c r="A196" s="99" t="s">
        <v>272</v>
      </c>
      <c r="B196" s="101" t="s">
        <v>979</v>
      </c>
      <c r="C196" s="207" t="s">
        <v>1284</v>
      </c>
      <c r="D196" s="130" t="s">
        <v>54</v>
      </c>
      <c r="E196" s="334" t="s">
        <v>1285</v>
      </c>
    </row>
    <row r="197" spans="1:6" s="2" customFormat="1" ht="86.45" customHeight="1" outlineLevel="1">
      <c r="A197" s="99" t="s">
        <v>273</v>
      </c>
      <c r="B197" s="201" t="s">
        <v>982</v>
      </c>
      <c r="C197" s="310" t="s">
        <v>976</v>
      </c>
      <c r="D197" s="127" t="s">
        <v>53</v>
      </c>
      <c r="E197" s="334" t="s">
        <v>1286</v>
      </c>
    </row>
    <row r="198" spans="1:6" s="2" customFormat="1" ht="177.6" customHeight="1" outlineLevel="1">
      <c r="A198" s="99" t="s">
        <v>274</v>
      </c>
      <c r="B198" s="310" t="s">
        <v>231</v>
      </c>
      <c r="C198" s="133" t="s">
        <v>983</v>
      </c>
      <c r="D198" s="208" t="s">
        <v>357</v>
      </c>
      <c r="E198" s="337" t="s">
        <v>1287</v>
      </c>
    </row>
    <row r="199" spans="1:6" s="2" customFormat="1" ht="86.45" customHeight="1" outlineLevel="1">
      <c r="A199" s="211" t="s">
        <v>275</v>
      </c>
      <c r="B199" s="140" t="s">
        <v>527</v>
      </c>
      <c r="C199" s="140" t="s">
        <v>984</v>
      </c>
      <c r="D199" s="212"/>
      <c r="E199" s="423" t="s">
        <v>1288</v>
      </c>
    </row>
    <row r="200" spans="1:6" s="2" customFormat="1" ht="38.25" customHeight="1" outlineLevel="1">
      <c r="A200" s="159" t="s">
        <v>648</v>
      </c>
      <c r="B200" s="133" t="s">
        <v>985</v>
      </c>
      <c r="C200" s="310"/>
      <c r="D200" s="135" t="s">
        <v>54</v>
      </c>
      <c r="E200" s="423"/>
    </row>
    <row r="201" spans="1:6" s="2" customFormat="1" ht="38.25" customHeight="1" outlineLevel="1">
      <c r="A201" s="159" t="s">
        <v>649</v>
      </c>
      <c r="B201" s="133" t="s">
        <v>986</v>
      </c>
      <c r="C201" s="310"/>
      <c r="D201" s="135" t="s">
        <v>54</v>
      </c>
      <c r="E201" s="423"/>
    </row>
    <row r="202" spans="1:6" s="2" customFormat="1" ht="38.25" customHeight="1" outlineLevel="1">
      <c r="A202" s="159" t="s">
        <v>650</v>
      </c>
      <c r="B202" s="133" t="s">
        <v>987</v>
      </c>
      <c r="C202" s="310"/>
      <c r="D202" s="135" t="s">
        <v>54</v>
      </c>
      <c r="E202" s="423"/>
    </row>
    <row r="203" spans="1:6" s="2" customFormat="1" ht="38.25" customHeight="1" outlineLevel="1">
      <c r="A203" s="159" t="s">
        <v>651</v>
      </c>
      <c r="B203" s="133" t="s">
        <v>988</v>
      </c>
      <c r="C203" s="310"/>
      <c r="D203" s="135" t="s">
        <v>54</v>
      </c>
      <c r="E203" s="423"/>
    </row>
    <row r="204" spans="1:6" s="2" customFormat="1" ht="38.25" customHeight="1" outlineLevel="1">
      <c r="A204" s="159" t="s">
        <v>652</v>
      </c>
      <c r="B204" s="133" t="s">
        <v>989</v>
      </c>
      <c r="C204" s="310"/>
      <c r="D204" s="135" t="s">
        <v>54</v>
      </c>
      <c r="E204" s="423"/>
    </row>
    <row r="205" spans="1:6" s="2" customFormat="1" ht="63" customHeight="1" outlineLevel="1">
      <c r="A205" s="309" t="s">
        <v>276</v>
      </c>
      <c r="B205" s="310" t="s">
        <v>558</v>
      </c>
      <c r="C205" s="133" t="s">
        <v>990</v>
      </c>
      <c r="D205" s="135" t="s">
        <v>36</v>
      </c>
      <c r="E205" s="338" t="s">
        <v>1289</v>
      </c>
    </row>
    <row r="206" spans="1:6" s="2" customFormat="1" ht="59.25" customHeight="1" outlineLevel="1">
      <c r="A206" s="309" t="s">
        <v>278</v>
      </c>
      <c r="B206" s="133" t="s">
        <v>529</v>
      </c>
      <c r="C206" s="133" t="s">
        <v>528</v>
      </c>
      <c r="D206" s="135" t="s">
        <v>43</v>
      </c>
      <c r="E206" s="338" t="s">
        <v>1290</v>
      </c>
    </row>
    <row r="207" spans="1:6" s="2" customFormat="1" ht="65.45" customHeight="1" outlineLevel="1">
      <c r="A207" s="309" t="s">
        <v>279</v>
      </c>
      <c r="B207" s="310" t="s">
        <v>753</v>
      </c>
      <c r="C207" s="133" t="s">
        <v>991</v>
      </c>
      <c r="D207" s="135" t="s">
        <v>36</v>
      </c>
      <c r="E207" s="338" t="s">
        <v>1291</v>
      </c>
      <c r="F207" s="5"/>
    </row>
    <row r="208" spans="1:6" s="2" customFormat="1" ht="64.150000000000006" customHeight="1" outlineLevel="1">
      <c r="A208" s="213" t="s">
        <v>280</v>
      </c>
      <c r="B208" s="310" t="s">
        <v>992</v>
      </c>
      <c r="C208" s="310" t="s">
        <v>1000</v>
      </c>
      <c r="D208" s="94" t="s">
        <v>36</v>
      </c>
      <c r="E208" s="414" t="s">
        <v>1292</v>
      </c>
    </row>
    <row r="209" spans="1:5" s="2" customFormat="1" ht="58.15" customHeight="1" outlineLevel="1">
      <c r="A209" s="213" t="s">
        <v>281</v>
      </c>
      <c r="B209" s="310" t="s">
        <v>993</v>
      </c>
      <c r="C209" s="310" t="s">
        <v>1001</v>
      </c>
      <c r="D209" s="94" t="s">
        <v>36</v>
      </c>
      <c r="E209" s="414"/>
    </row>
    <row r="210" spans="1:5" s="2" customFormat="1" ht="48.75" customHeight="1" outlineLevel="1">
      <c r="A210" s="213" t="s">
        <v>282</v>
      </c>
      <c r="B210" s="310" t="s">
        <v>994</v>
      </c>
      <c r="C210" s="310" t="s">
        <v>1002</v>
      </c>
      <c r="D210" s="94" t="s">
        <v>36</v>
      </c>
      <c r="E210" s="414" t="s">
        <v>1293</v>
      </c>
    </row>
    <row r="211" spans="1:5" s="2" customFormat="1" ht="48.75" customHeight="1" outlineLevel="1">
      <c r="A211" s="213" t="s">
        <v>283</v>
      </c>
      <c r="B211" s="310" t="s">
        <v>995</v>
      </c>
      <c r="C211" s="310" t="s">
        <v>1003</v>
      </c>
      <c r="D211" s="94" t="s">
        <v>36</v>
      </c>
      <c r="E211" s="414"/>
    </row>
    <row r="212" spans="1:5" s="2" customFormat="1" ht="38.25" outlineLevel="1">
      <c r="A212" s="309" t="s">
        <v>284</v>
      </c>
      <c r="B212" s="133" t="s">
        <v>996</v>
      </c>
      <c r="C212" s="133" t="s">
        <v>594</v>
      </c>
      <c r="D212" s="135" t="s">
        <v>54</v>
      </c>
      <c r="E212" s="416" t="s">
        <v>1295</v>
      </c>
    </row>
    <row r="213" spans="1:5" s="2" customFormat="1" ht="41.45" customHeight="1" outlineLevel="1">
      <c r="A213" s="309" t="s">
        <v>285</v>
      </c>
      <c r="B213" s="133" t="s">
        <v>997</v>
      </c>
      <c r="C213" s="133" t="s">
        <v>594</v>
      </c>
      <c r="D213" s="135" t="s">
        <v>54</v>
      </c>
      <c r="E213" s="416"/>
    </row>
    <row r="214" spans="1:5" s="2" customFormat="1" ht="59.25" customHeight="1" outlineLevel="1">
      <c r="A214" s="309" t="s">
        <v>286</v>
      </c>
      <c r="B214" s="133" t="s">
        <v>998</v>
      </c>
      <c r="C214" s="133" t="s">
        <v>595</v>
      </c>
      <c r="D214" s="135" t="s">
        <v>54</v>
      </c>
      <c r="E214" s="416"/>
    </row>
    <row r="215" spans="1:5" s="2" customFormat="1" ht="75.75" customHeight="1" outlineLevel="1">
      <c r="A215" s="309" t="s">
        <v>287</v>
      </c>
      <c r="B215" s="133" t="s">
        <v>999</v>
      </c>
      <c r="C215" s="133" t="s">
        <v>977</v>
      </c>
      <c r="D215" s="214" t="s">
        <v>54</v>
      </c>
      <c r="E215" s="337" t="s">
        <v>1294</v>
      </c>
    </row>
    <row r="216" spans="1:5" s="2" customFormat="1" ht="146.44999999999999" customHeight="1" outlineLevel="1">
      <c r="A216" s="309" t="s">
        <v>288</v>
      </c>
      <c r="B216" s="133" t="s">
        <v>1004</v>
      </c>
      <c r="C216" s="133" t="s">
        <v>596</v>
      </c>
      <c r="D216" s="135" t="s">
        <v>54</v>
      </c>
      <c r="E216" s="332" t="s">
        <v>1296</v>
      </c>
    </row>
    <row r="217" spans="1:5" s="2" customFormat="1" ht="105" customHeight="1" outlineLevel="1">
      <c r="A217" s="309" t="s">
        <v>290</v>
      </c>
      <c r="B217" s="198" t="s">
        <v>1005</v>
      </c>
      <c r="C217" s="166" t="s">
        <v>1007</v>
      </c>
      <c r="D217" s="167" t="s">
        <v>44</v>
      </c>
      <c r="E217" s="416" t="s">
        <v>1297</v>
      </c>
    </row>
    <row r="218" spans="1:5" s="2" customFormat="1" ht="96.75" customHeight="1" outlineLevel="1">
      <c r="A218" s="309" t="s">
        <v>292</v>
      </c>
      <c r="B218" s="166" t="s">
        <v>1006</v>
      </c>
      <c r="C218" s="166" t="s">
        <v>1008</v>
      </c>
      <c r="D218" s="167" t="s">
        <v>44</v>
      </c>
      <c r="E218" s="416"/>
    </row>
    <row r="219" spans="1:5" s="2" customFormat="1" ht="50.25" customHeight="1" outlineLevel="1">
      <c r="A219" s="309" t="s">
        <v>294</v>
      </c>
      <c r="B219" s="133" t="s">
        <v>206</v>
      </c>
      <c r="C219" s="133" t="s">
        <v>1009</v>
      </c>
      <c r="D219" s="216" t="s">
        <v>1</v>
      </c>
      <c r="E219" s="416"/>
    </row>
    <row r="220" spans="1:5" s="2" customFormat="1" ht="102" customHeight="1" outlineLevel="1">
      <c r="A220" s="309" t="s">
        <v>296</v>
      </c>
      <c r="B220" s="198" t="s">
        <v>1010</v>
      </c>
      <c r="C220" s="166" t="s">
        <v>264</v>
      </c>
      <c r="D220" s="217" t="s">
        <v>43</v>
      </c>
      <c r="E220" s="339" t="s">
        <v>1298</v>
      </c>
    </row>
    <row r="221" spans="1:5" s="2" customFormat="1" ht="31.5" customHeight="1" outlineLevel="1">
      <c r="A221" s="384" t="s">
        <v>500</v>
      </c>
      <c r="B221" s="384"/>
      <c r="C221" s="384"/>
      <c r="D221" s="384"/>
      <c r="E221" s="384"/>
    </row>
    <row r="222" spans="1:5" s="2" customFormat="1" ht="80.45" customHeight="1" outlineLevel="1">
      <c r="A222" s="218" t="s">
        <v>298</v>
      </c>
      <c r="B222" s="107" t="s">
        <v>263</v>
      </c>
      <c r="C222" s="120" t="s">
        <v>1018</v>
      </c>
      <c r="D222" s="219"/>
      <c r="E222" s="434" t="s">
        <v>1367</v>
      </c>
    </row>
    <row r="223" spans="1:5" s="2" customFormat="1" ht="18.75" customHeight="1" outlineLevel="1">
      <c r="A223" s="72" t="s">
        <v>530</v>
      </c>
      <c r="B223" s="138" t="s">
        <v>1019</v>
      </c>
      <c r="C223" s="138"/>
      <c r="D223" s="130" t="s">
        <v>36</v>
      </c>
      <c r="E223" s="434"/>
    </row>
    <row r="224" spans="1:5" s="2" customFormat="1" ht="18.75" customHeight="1" outlineLevel="1">
      <c r="A224" s="72" t="s">
        <v>531</v>
      </c>
      <c r="B224" s="138" t="s">
        <v>1020</v>
      </c>
      <c r="C224" s="138"/>
      <c r="D224" s="130" t="s">
        <v>36</v>
      </c>
      <c r="E224" s="434"/>
    </row>
    <row r="225" spans="1:5" s="2" customFormat="1" ht="18.75" customHeight="1" outlineLevel="1">
      <c r="A225" s="72" t="s">
        <v>532</v>
      </c>
      <c r="B225" s="138" t="s">
        <v>1021</v>
      </c>
      <c r="C225" s="138"/>
      <c r="D225" s="130" t="s">
        <v>36</v>
      </c>
      <c r="E225" s="434"/>
    </row>
    <row r="226" spans="1:5" s="2" customFormat="1" ht="18.75" customHeight="1" outlineLevel="1">
      <c r="A226" s="72" t="s">
        <v>533</v>
      </c>
      <c r="B226" s="138" t="s">
        <v>1022</v>
      </c>
      <c r="C226" s="138"/>
      <c r="D226" s="130" t="s">
        <v>36</v>
      </c>
      <c r="E226" s="434"/>
    </row>
    <row r="227" spans="1:5" s="2" customFormat="1" ht="92.45" customHeight="1" outlineLevel="1">
      <c r="A227" s="99" t="s">
        <v>299</v>
      </c>
      <c r="B227" s="133" t="s">
        <v>1023</v>
      </c>
      <c r="C227" s="133" t="s">
        <v>1300</v>
      </c>
      <c r="D227" s="135" t="s">
        <v>36</v>
      </c>
      <c r="E227" s="332" t="s">
        <v>1366</v>
      </c>
    </row>
    <row r="228" spans="1:5" s="2" customFormat="1" ht="68.45" customHeight="1" outlineLevel="1">
      <c r="A228" s="99" t="s">
        <v>300</v>
      </c>
      <c r="B228" s="133" t="s">
        <v>235</v>
      </c>
      <c r="C228" s="133" t="s">
        <v>1025</v>
      </c>
      <c r="D228" s="214" t="s">
        <v>1</v>
      </c>
      <c r="E228" s="337" t="s">
        <v>1301</v>
      </c>
    </row>
    <row r="229" spans="1:5" s="2" customFormat="1" ht="81.599999999999994" customHeight="1" outlineLevel="1">
      <c r="A229" s="99" t="s">
        <v>301</v>
      </c>
      <c r="B229" s="133" t="s">
        <v>1026</v>
      </c>
      <c r="C229" s="138" t="s">
        <v>246</v>
      </c>
      <c r="D229" s="130" t="s">
        <v>52</v>
      </c>
      <c r="E229" s="340" t="s">
        <v>1302</v>
      </c>
    </row>
    <row r="230" spans="1:5" s="2" customFormat="1" ht="96.6" customHeight="1" outlineLevel="1">
      <c r="A230" s="99" t="s">
        <v>302</v>
      </c>
      <c r="B230" s="133" t="s">
        <v>1027</v>
      </c>
      <c r="C230" s="133" t="s">
        <v>1028</v>
      </c>
      <c r="D230" s="135" t="s">
        <v>247</v>
      </c>
      <c r="E230" s="332" t="s">
        <v>1303</v>
      </c>
    </row>
    <row r="231" spans="1:5" s="2" customFormat="1" ht="78" customHeight="1" outlineLevel="1">
      <c r="A231" s="99" t="s">
        <v>303</v>
      </c>
      <c r="B231" s="138" t="s">
        <v>539</v>
      </c>
      <c r="C231" s="138" t="s">
        <v>1029</v>
      </c>
      <c r="D231" s="130" t="s">
        <v>247</v>
      </c>
      <c r="E231" s="334" t="s">
        <v>1304</v>
      </c>
    </row>
    <row r="232" spans="1:5" s="2" customFormat="1" ht="38.25" outlineLevel="1">
      <c r="A232" s="99" t="s">
        <v>306</v>
      </c>
      <c r="B232" s="133" t="s">
        <v>234</v>
      </c>
      <c r="C232" s="138" t="s">
        <v>833</v>
      </c>
      <c r="D232" s="214" t="s">
        <v>1</v>
      </c>
      <c r="E232" s="337" t="s">
        <v>1305</v>
      </c>
    </row>
    <row r="233" spans="1:5" s="2" customFormat="1" ht="51" outlineLevel="1">
      <c r="A233" s="211" t="s">
        <v>307</v>
      </c>
      <c r="B233" s="140" t="s">
        <v>1306</v>
      </c>
      <c r="C233" s="140" t="s">
        <v>70</v>
      </c>
      <c r="D233" s="131"/>
      <c r="E233" s="416" t="s">
        <v>1307</v>
      </c>
    </row>
    <row r="234" spans="1:5" s="2" customFormat="1" outlineLevel="1">
      <c r="A234" s="72" t="s">
        <v>534</v>
      </c>
      <c r="B234" s="133" t="s">
        <v>1030</v>
      </c>
      <c r="C234" s="133"/>
      <c r="D234" s="135" t="s">
        <v>36</v>
      </c>
      <c r="E234" s="416"/>
    </row>
    <row r="235" spans="1:5" s="2" customFormat="1" outlineLevel="1">
      <c r="A235" s="72" t="s">
        <v>535</v>
      </c>
      <c r="B235" s="133" t="s">
        <v>1031</v>
      </c>
      <c r="C235" s="133"/>
      <c r="D235" s="135" t="s">
        <v>36</v>
      </c>
      <c r="E235" s="416"/>
    </row>
    <row r="236" spans="1:5" s="2" customFormat="1" outlineLevel="1">
      <c r="A236" s="72" t="s">
        <v>536</v>
      </c>
      <c r="B236" s="133" t="s">
        <v>1032</v>
      </c>
      <c r="C236" s="133"/>
      <c r="D236" s="135" t="s">
        <v>36</v>
      </c>
      <c r="E236" s="416"/>
    </row>
    <row r="237" spans="1:5" s="2" customFormat="1" ht="46.9" customHeight="1" outlineLevel="1">
      <c r="A237" s="226" t="s">
        <v>308</v>
      </c>
      <c r="B237" s="133" t="s">
        <v>1033</v>
      </c>
      <c r="C237" s="133" t="s">
        <v>1034</v>
      </c>
      <c r="D237" s="135" t="s">
        <v>36</v>
      </c>
      <c r="E237" s="416" t="s">
        <v>1308</v>
      </c>
    </row>
    <row r="238" spans="1:5" s="2" customFormat="1" ht="49.15" customHeight="1" outlineLevel="1">
      <c r="A238" s="226" t="s">
        <v>309</v>
      </c>
      <c r="B238" s="133" t="s">
        <v>1035</v>
      </c>
      <c r="C238" s="133" t="s">
        <v>1036</v>
      </c>
      <c r="D238" s="135" t="s">
        <v>36</v>
      </c>
      <c r="E238" s="416"/>
    </row>
    <row r="239" spans="1:5" s="2" customFormat="1" ht="90" customHeight="1" outlineLevel="1">
      <c r="A239" s="226" t="s">
        <v>310</v>
      </c>
      <c r="B239" s="310" t="s">
        <v>1037</v>
      </c>
      <c r="C239" s="310" t="s">
        <v>484</v>
      </c>
      <c r="D239" s="94" t="s">
        <v>485</v>
      </c>
      <c r="E239" s="416" t="s">
        <v>1309</v>
      </c>
    </row>
    <row r="240" spans="1:5" s="2" customFormat="1" ht="92.45" customHeight="1" outlineLevel="1">
      <c r="A240" s="226" t="s">
        <v>311</v>
      </c>
      <c r="B240" s="310" t="s">
        <v>1038</v>
      </c>
      <c r="C240" s="310" t="s">
        <v>484</v>
      </c>
      <c r="D240" s="94" t="s">
        <v>485</v>
      </c>
      <c r="E240" s="416"/>
    </row>
    <row r="241" spans="1:5" s="2" customFormat="1" ht="140.25" outlineLevel="1">
      <c r="A241" s="228" t="s">
        <v>312</v>
      </c>
      <c r="B241" s="310" t="s">
        <v>486</v>
      </c>
      <c r="C241" s="310" t="s">
        <v>1039</v>
      </c>
      <c r="D241" s="94" t="s">
        <v>516</v>
      </c>
      <c r="E241" s="332" t="s">
        <v>1310</v>
      </c>
    </row>
    <row r="242" spans="1:5" s="2" customFormat="1" ht="55.15" customHeight="1" outlineLevel="1">
      <c r="A242" s="384" t="s">
        <v>391</v>
      </c>
      <c r="B242" s="384"/>
      <c r="C242" s="384"/>
      <c r="D242" s="341"/>
      <c r="E242" s="317" t="s">
        <v>1311</v>
      </c>
    </row>
    <row r="243" spans="1:5" s="2" customFormat="1" ht="229.5" outlineLevel="1">
      <c r="A243" s="132" t="s">
        <v>315</v>
      </c>
      <c r="B243" s="310" t="s">
        <v>1041</v>
      </c>
      <c r="C243" s="230" t="s">
        <v>1042</v>
      </c>
      <c r="D243" s="203" t="s">
        <v>1</v>
      </c>
      <c r="E243" s="342" t="s">
        <v>1312</v>
      </c>
    </row>
    <row r="244" spans="1:5" s="2" customFormat="1" ht="199.15" customHeight="1" outlineLevel="1">
      <c r="A244" s="132" t="s">
        <v>316</v>
      </c>
      <c r="B244" s="310" t="s">
        <v>1045</v>
      </c>
      <c r="C244" s="230" t="s">
        <v>1043</v>
      </c>
      <c r="D244" s="203" t="s">
        <v>1</v>
      </c>
      <c r="E244" s="342" t="s">
        <v>1313</v>
      </c>
    </row>
    <row r="245" spans="1:5" s="2" customFormat="1" ht="265.89999999999998" customHeight="1" outlineLevel="1">
      <c r="A245" s="132" t="s">
        <v>317</v>
      </c>
      <c r="B245" s="310" t="s">
        <v>1046</v>
      </c>
      <c r="C245" s="230" t="s">
        <v>1044</v>
      </c>
      <c r="D245" s="203" t="s">
        <v>1</v>
      </c>
      <c r="E245" s="342" t="s">
        <v>1314</v>
      </c>
    </row>
    <row r="246" spans="1:5" s="2" customFormat="1" ht="245.45" customHeight="1" outlineLevel="1">
      <c r="A246" s="132" t="s">
        <v>318</v>
      </c>
      <c r="B246" s="310" t="s">
        <v>1315</v>
      </c>
      <c r="C246" s="230" t="s">
        <v>1047</v>
      </c>
      <c r="D246" s="203" t="s">
        <v>1</v>
      </c>
      <c r="E246" s="342" t="s">
        <v>1319</v>
      </c>
    </row>
    <row r="247" spans="1:5" s="2" customFormat="1" ht="229.15" customHeight="1" outlineLevel="1">
      <c r="A247" s="132" t="s">
        <v>321</v>
      </c>
      <c r="B247" s="310" t="s">
        <v>1318</v>
      </c>
      <c r="C247" s="230" t="s">
        <v>1048</v>
      </c>
      <c r="D247" s="203" t="s">
        <v>1</v>
      </c>
      <c r="E247" s="342" t="s">
        <v>1320</v>
      </c>
    </row>
    <row r="248" spans="1:5" s="2" customFormat="1" ht="213" customHeight="1" outlineLevel="1">
      <c r="A248" s="132" t="s">
        <v>322</v>
      </c>
      <c r="B248" s="310" t="s">
        <v>1317</v>
      </c>
      <c r="C248" s="230" t="s">
        <v>1049</v>
      </c>
      <c r="D248" s="203" t="s">
        <v>1</v>
      </c>
      <c r="E248" s="342" t="s">
        <v>1321</v>
      </c>
    </row>
    <row r="249" spans="1:5" s="2" customFormat="1" ht="299.45" customHeight="1" outlineLevel="1">
      <c r="A249" s="132" t="s">
        <v>323</v>
      </c>
      <c r="B249" s="310" t="s">
        <v>1065</v>
      </c>
      <c r="C249" s="230" t="s">
        <v>1050</v>
      </c>
      <c r="D249" s="130" t="s">
        <v>1</v>
      </c>
      <c r="E249" s="342" t="s">
        <v>1322</v>
      </c>
    </row>
    <row r="250" spans="1:5" s="2" customFormat="1" ht="259.14999999999998" customHeight="1" outlineLevel="1">
      <c r="A250" s="132" t="s">
        <v>325</v>
      </c>
      <c r="B250" s="310" t="s">
        <v>1066</v>
      </c>
      <c r="C250" s="230" t="s">
        <v>1051</v>
      </c>
      <c r="D250" s="130" t="s">
        <v>1</v>
      </c>
      <c r="E250" s="342" t="s">
        <v>1323</v>
      </c>
    </row>
    <row r="251" spans="1:5" s="54" customFormat="1" ht="69" customHeight="1" outlineLevel="1">
      <c r="A251" s="132" t="s">
        <v>327</v>
      </c>
      <c r="B251" s="310" t="s">
        <v>1052</v>
      </c>
      <c r="C251" s="310" t="s">
        <v>393</v>
      </c>
      <c r="D251" s="130" t="s">
        <v>54</v>
      </c>
      <c r="E251" s="427" t="s">
        <v>1324</v>
      </c>
    </row>
    <row r="252" spans="1:5" s="2" customFormat="1" ht="91.5" customHeight="1" outlineLevel="1">
      <c r="A252" s="132" t="s">
        <v>328</v>
      </c>
      <c r="B252" s="310" t="s">
        <v>1053</v>
      </c>
      <c r="C252" s="310" t="s">
        <v>1011</v>
      </c>
      <c r="D252" s="130" t="s">
        <v>54</v>
      </c>
      <c r="E252" s="428"/>
    </row>
    <row r="253" spans="1:5" s="2" customFormat="1" ht="91.5" customHeight="1" outlineLevel="1">
      <c r="A253" s="132" t="s">
        <v>329</v>
      </c>
      <c r="B253" s="101" t="s">
        <v>1054</v>
      </c>
      <c r="C253" s="165" t="s">
        <v>1012</v>
      </c>
      <c r="D253" s="130" t="s">
        <v>54</v>
      </c>
      <c r="E253" s="428"/>
    </row>
    <row r="254" spans="1:5" s="2" customFormat="1" ht="91.5" customHeight="1" outlineLevel="1">
      <c r="A254" s="132" t="s">
        <v>330</v>
      </c>
      <c r="B254" s="101" t="s">
        <v>1055</v>
      </c>
      <c r="C254" s="165" t="s">
        <v>1013</v>
      </c>
      <c r="D254" s="130" t="s">
        <v>54</v>
      </c>
      <c r="E254" s="428"/>
    </row>
    <row r="255" spans="1:5" s="2" customFormat="1" ht="91.5" customHeight="1" outlineLevel="1">
      <c r="A255" s="132" t="s">
        <v>332</v>
      </c>
      <c r="B255" s="101" t="s">
        <v>1056</v>
      </c>
      <c r="C255" s="165" t="s">
        <v>1014</v>
      </c>
      <c r="D255" s="130" t="s">
        <v>54</v>
      </c>
      <c r="E255" s="428"/>
    </row>
    <row r="256" spans="1:5" s="2" customFormat="1" ht="91.5" customHeight="1" outlineLevel="1">
      <c r="A256" s="132" t="s">
        <v>333</v>
      </c>
      <c r="B256" s="101" t="s">
        <v>1057</v>
      </c>
      <c r="C256" s="165" t="s">
        <v>1015</v>
      </c>
      <c r="D256" s="130" t="s">
        <v>54</v>
      </c>
      <c r="E256" s="428"/>
    </row>
    <row r="257" spans="1:5" s="2" customFormat="1" ht="91.5" customHeight="1" outlineLevel="1">
      <c r="A257" s="132" t="s">
        <v>334</v>
      </c>
      <c r="B257" s="101" t="s">
        <v>1058</v>
      </c>
      <c r="C257" s="165" t="s">
        <v>1016</v>
      </c>
      <c r="D257" s="130" t="s">
        <v>54</v>
      </c>
      <c r="E257" s="428"/>
    </row>
    <row r="258" spans="1:5" s="2" customFormat="1" ht="91.5" customHeight="1" outlineLevel="1">
      <c r="A258" s="132" t="s">
        <v>335</v>
      </c>
      <c r="B258" s="310" t="s">
        <v>1059</v>
      </c>
      <c r="C258" s="165" t="s">
        <v>1017</v>
      </c>
      <c r="D258" s="130" t="s">
        <v>54</v>
      </c>
      <c r="E258" s="428"/>
    </row>
    <row r="259" spans="1:5" s="2" customFormat="1" ht="100.5" customHeight="1" outlineLevel="1">
      <c r="A259" s="132" t="s">
        <v>337</v>
      </c>
      <c r="B259" s="101" t="s">
        <v>390</v>
      </c>
      <c r="C259" s="165" t="s">
        <v>1060</v>
      </c>
      <c r="D259" s="130" t="s">
        <v>54</v>
      </c>
      <c r="E259" s="342" t="s">
        <v>1325</v>
      </c>
    </row>
    <row r="260" spans="1:5" s="2" customFormat="1" ht="114" customHeight="1" outlineLevel="1">
      <c r="A260" s="132" t="s">
        <v>340</v>
      </c>
      <c r="B260" s="101" t="s">
        <v>304</v>
      </c>
      <c r="C260" s="165" t="s">
        <v>1326</v>
      </c>
      <c r="D260" s="130" t="s">
        <v>54</v>
      </c>
      <c r="E260" s="342" t="s">
        <v>1327</v>
      </c>
    </row>
    <row r="261" spans="1:5" s="2" customFormat="1" ht="106.15" customHeight="1" outlineLevel="1">
      <c r="A261" s="132" t="s">
        <v>343</v>
      </c>
      <c r="B261" s="310" t="s">
        <v>1328</v>
      </c>
      <c r="C261" s="310" t="s">
        <v>401</v>
      </c>
      <c r="D261" s="208" t="s">
        <v>54</v>
      </c>
      <c r="E261" s="334" t="s">
        <v>1329</v>
      </c>
    </row>
    <row r="262" spans="1:5" s="54" customFormat="1" ht="115.15" customHeight="1" outlineLevel="1">
      <c r="A262" s="132" t="s">
        <v>345</v>
      </c>
      <c r="B262" s="310" t="s">
        <v>1330</v>
      </c>
      <c r="C262" s="310" t="s">
        <v>402</v>
      </c>
      <c r="D262" s="234" t="s">
        <v>54</v>
      </c>
      <c r="E262" s="343" t="s">
        <v>1331</v>
      </c>
    </row>
    <row r="263" spans="1:5" s="54" customFormat="1" ht="111.6" customHeight="1" outlineLevel="1">
      <c r="A263" s="132" t="s">
        <v>347</v>
      </c>
      <c r="B263" s="101" t="s">
        <v>1063</v>
      </c>
      <c r="C263" s="165" t="s">
        <v>324</v>
      </c>
      <c r="D263" s="234" t="s">
        <v>54</v>
      </c>
      <c r="E263" s="417" t="s">
        <v>1332</v>
      </c>
    </row>
    <row r="264" spans="1:5" s="54" customFormat="1" ht="112.9" customHeight="1" outlineLevel="1">
      <c r="A264" s="132" t="s">
        <v>350</v>
      </c>
      <c r="B264" s="101" t="s">
        <v>1064</v>
      </c>
      <c r="C264" s="165" t="s">
        <v>326</v>
      </c>
      <c r="D264" s="234" t="s">
        <v>54</v>
      </c>
      <c r="E264" s="417"/>
    </row>
    <row r="265" spans="1:5" s="2" customFormat="1" ht="25.5" customHeight="1" outlineLevel="1">
      <c r="A265" s="384" t="s">
        <v>389</v>
      </c>
      <c r="B265" s="384"/>
      <c r="C265" s="384"/>
      <c r="D265" s="341"/>
      <c r="E265" s="344" t="s">
        <v>1333</v>
      </c>
    </row>
    <row r="266" spans="1:5" s="2" customFormat="1" ht="30" customHeight="1" outlineLevel="1">
      <c r="A266" s="236" t="s">
        <v>352</v>
      </c>
      <c r="B266" s="237" t="s">
        <v>704</v>
      </c>
      <c r="C266" s="238"/>
      <c r="D266" s="239"/>
      <c r="E266" s="345" t="s">
        <v>1334</v>
      </c>
    </row>
    <row r="267" spans="1:5" s="2" customFormat="1" ht="90" customHeight="1" outlineLevel="1">
      <c r="A267" s="240" t="s">
        <v>815</v>
      </c>
      <c r="B267" s="133" t="s">
        <v>699</v>
      </c>
      <c r="C267" s="133" t="s">
        <v>1067</v>
      </c>
      <c r="D267" s="105" t="s">
        <v>36</v>
      </c>
      <c r="E267" s="342" t="s">
        <v>1339</v>
      </c>
    </row>
    <row r="268" spans="1:5" s="2" customFormat="1" ht="121.15" customHeight="1" outlineLevel="1">
      <c r="A268" s="240" t="s">
        <v>816</v>
      </c>
      <c r="B268" s="133" t="s">
        <v>756</v>
      </c>
      <c r="C268" s="133" t="s">
        <v>1068</v>
      </c>
      <c r="D268" s="105" t="s">
        <v>36</v>
      </c>
      <c r="E268" s="342" t="s">
        <v>1335</v>
      </c>
    </row>
    <row r="269" spans="1:5" s="2" customFormat="1" ht="146.44999999999999" customHeight="1" outlineLevel="1">
      <c r="A269" s="240" t="s">
        <v>817</v>
      </c>
      <c r="B269" s="133" t="s">
        <v>700</v>
      </c>
      <c r="C269" s="133" t="s">
        <v>1071</v>
      </c>
      <c r="D269" s="105" t="s">
        <v>36</v>
      </c>
      <c r="E269" s="342" t="s">
        <v>1336</v>
      </c>
    </row>
    <row r="270" spans="1:5" s="2" customFormat="1" ht="112.9" customHeight="1" outlineLevel="1">
      <c r="A270" s="240" t="s">
        <v>818</v>
      </c>
      <c r="B270" s="133" t="s">
        <v>701</v>
      </c>
      <c r="C270" s="133" t="s">
        <v>1072</v>
      </c>
      <c r="D270" s="105" t="s">
        <v>36</v>
      </c>
      <c r="E270" s="342" t="s">
        <v>1337</v>
      </c>
    </row>
    <row r="271" spans="1:5" s="2" customFormat="1" ht="100.15" customHeight="1" outlineLevel="1">
      <c r="A271" s="240" t="s">
        <v>819</v>
      </c>
      <c r="B271" s="133" t="s">
        <v>702</v>
      </c>
      <c r="C271" s="133" t="s">
        <v>1073</v>
      </c>
      <c r="D271" s="105" t="s">
        <v>36</v>
      </c>
      <c r="E271" s="342" t="s">
        <v>1338</v>
      </c>
    </row>
    <row r="272" spans="1:5" s="2" customFormat="1" ht="111.6" customHeight="1" outlineLevel="1">
      <c r="A272" s="240" t="s">
        <v>820</v>
      </c>
      <c r="B272" s="133" t="s">
        <v>703</v>
      </c>
      <c r="C272" s="133" t="s">
        <v>1069</v>
      </c>
      <c r="D272" s="105" t="s">
        <v>36</v>
      </c>
      <c r="E272" s="342" t="s">
        <v>1340</v>
      </c>
    </row>
    <row r="273" spans="1:5" s="2" customFormat="1" ht="93.6" customHeight="1" outlineLevel="1">
      <c r="A273" s="240" t="s">
        <v>821</v>
      </c>
      <c r="B273" s="133" t="s">
        <v>707</v>
      </c>
      <c r="C273" s="133" t="s">
        <v>1070</v>
      </c>
      <c r="D273" s="105" t="s">
        <v>36</v>
      </c>
      <c r="E273" s="342" t="s">
        <v>1341</v>
      </c>
    </row>
    <row r="274" spans="1:5" s="2" customFormat="1" ht="82.9" customHeight="1" outlineLevel="1">
      <c r="A274" s="240" t="s">
        <v>822</v>
      </c>
      <c r="B274" s="133" t="s">
        <v>501</v>
      </c>
      <c r="C274" s="133" t="s">
        <v>1074</v>
      </c>
      <c r="D274" s="105" t="s">
        <v>36</v>
      </c>
      <c r="E274" s="342" t="s">
        <v>1342</v>
      </c>
    </row>
    <row r="275" spans="1:5" s="2" customFormat="1" ht="126" customHeight="1" outlineLevel="1">
      <c r="A275" s="240" t="s">
        <v>823</v>
      </c>
      <c r="B275" s="133" t="s">
        <v>338</v>
      </c>
      <c r="C275" s="133" t="s">
        <v>339</v>
      </c>
      <c r="D275" s="105" t="s">
        <v>36</v>
      </c>
      <c r="E275" s="342" t="s">
        <v>1343</v>
      </c>
    </row>
    <row r="276" spans="1:5" s="2" customFormat="1" ht="45.6" customHeight="1" outlineLevel="1">
      <c r="A276" s="246" t="s">
        <v>824</v>
      </c>
      <c r="B276" s="101" t="s">
        <v>634</v>
      </c>
      <c r="C276" s="165" t="s">
        <v>845</v>
      </c>
      <c r="D276" s="203" t="s">
        <v>36</v>
      </c>
      <c r="E276" s="429" t="s">
        <v>1344</v>
      </c>
    </row>
    <row r="277" spans="1:5" s="2" customFormat="1" ht="36.75" customHeight="1" outlineLevel="1">
      <c r="A277" s="240" t="s">
        <v>844</v>
      </c>
      <c r="B277" s="101" t="s">
        <v>846</v>
      </c>
      <c r="C277" s="165" t="s">
        <v>1075</v>
      </c>
      <c r="D277" s="203" t="s">
        <v>36</v>
      </c>
      <c r="E277" s="430"/>
    </row>
    <row r="278" spans="1:5" s="2" customFormat="1" ht="33" customHeight="1" outlineLevel="1">
      <c r="A278" s="246" t="s">
        <v>354</v>
      </c>
      <c r="B278" s="247" t="s">
        <v>761</v>
      </c>
      <c r="C278" s="179"/>
      <c r="D278" s="248"/>
      <c r="E278" s="346"/>
    </row>
    <row r="279" spans="1:5" s="2" customFormat="1" ht="109.9" customHeight="1" outlineLevel="1">
      <c r="A279" s="240" t="s">
        <v>758</v>
      </c>
      <c r="B279" s="101" t="s">
        <v>1076</v>
      </c>
      <c r="C279" s="165" t="s">
        <v>1078</v>
      </c>
      <c r="D279" s="203" t="s">
        <v>36</v>
      </c>
      <c r="E279" s="342" t="s">
        <v>1345</v>
      </c>
    </row>
    <row r="280" spans="1:5" s="2" customFormat="1" ht="177.6" customHeight="1" outlineLevel="1">
      <c r="A280" s="240" t="s">
        <v>759</v>
      </c>
      <c r="B280" s="101" t="s">
        <v>1077</v>
      </c>
      <c r="C280" s="165" t="s">
        <v>1346</v>
      </c>
      <c r="D280" s="203" t="s">
        <v>36</v>
      </c>
      <c r="E280" s="342" t="s">
        <v>1348</v>
      </c>
    </row>
    <row r="281" spans="1:5" s="2" customFormat="1" ht="180.6" customHeight="1" outlineLevel="1">
      <c r="A281" s="240" t="s">
        <v>760</v>
      </c>
      <c r="B281" s="101" t="s">
        <v>1079</v>
      </c>
      <c r="C281" s="165" t="s">
        <v>1347</v>
      </c>
      <c r="D281" s="203" t="s">
        <v>36</v>
      </c>
      <c r="E281" s="342" t="s">
        <v>1349</v>
      </c>
    </row>
    <row r="282" spans="1:5" s="2" customFormat="1" ht="105.6" customHeight="1" outlineLevel="1">
      <c r="A282" s="252" t="s">
        <v>356</v>
      </c>
      <c r="B282" s="101" t="s">
        <v>1083</v>
      </c>
      <c r="C282" s="253" t="s">
        <v>1080</v>
      </c>
      <c r="D282" s="254" t="s">
        <v>36</v>
      </c>
      <c r="E282" s="429" t="s">
        <v>1350</v>
      </c>
    </row>
    <row r="283" spans="1:5" s="2" customFormat="1" ht="76.5" outlineLevel="1">
      <c r="A283" s="246" t="s">
        <v>358</v>
      </c>
      <c r="B283" s="101" t="s">
        <v>1082</v>
      </c>
      <c r="C283" s="253" t="s">
        <v>1081</v>
      </c>
      <c r="D283" s="254" t="s">
        <v>36</v>
      </c>
      <c r="E283" s="429"/>
    </row>
    <row r="284" spans="1:5" s="54" customFormat="1" ht="103.9" customHeight="1" outlineLevel="1">
      <c r="A284" s="252" t="s">
        <v>359</v>
      </c>
      <c r="B284" s="101" t="s">
        <v>341</v>
      </c>
      <c r="C284" s="165" t="s">
        <v>1351</v>
      </c>
      <c r="D284" s="203" t="s">
        <v>54</v>
      </c>
      <c r="E284" s="343" t="s">
        <v>1352</v>
      </c>
    </row>
    <row r="285" spans="1:5" s="2" customFormat="1" ht="89.25" outlineLevel="1">
      <c r="A285" s="246" t="s">
        <v>403</v>
      </c>
      <c r="B285" s="101" t="s">
        <v>1084</v>
      </c>
      <c r="C285" s="165" t="s">
        <v>313</v>
      </c>
      <c r="D285" s="203" t="s">
        <v>314</v>
      </c>
      <c r="E285" s="342" t="s">
        <v>1353</v>
      </c>
    </row>
    <row r="286" spans="1:5" s="2" customFormat="1" ht="111" customHeight="1" outlineLevel="1">
      <c r="A286" s="252" t="s">
        <v>404</v>
      </c>
      <c r="B286" s="101" t="s">
        <v>1085</v>
      </c>
      <c r="C286" s="165" t="s">
        <v>672</v>
      </c>
      <c r="D286" s="234" t="s">
        <v>54</v>
      </c>
      <c r="E286" s="417" t="s">
        <v>1354</v>
      </c>
    </row>
    <row r="287" spans="1:5" s="2" customFormat="1" ht="98.25" customHeight="1" outlineLevel="1">
      <c r="A287" s="246" t="s">
        <v>405</v>
      </c>
      <c r="B287" s="101" t="s">
        <v>1086</v>
      </c>
      <c r="C287" s="165" t="s">
        <v>671</v>
      </c>
      <c r="D287" s="234" t="s">
        <v>54</v>
      </c>
      <c r="E287" s="417"/>
    </row>
    <row r="288" spans="1:5" s="2" customFormat="1" ht="94.5" customHeight="1" outlineLevel="1">
      <c r="A288" s="252" t="s">
        <v>406</v>
      </c>
      <c r="B288" s="101" t="s">
        <v>1087</v>
      </c>
      <c r="C288" s="165" t="s">
        <v>344</v>
      </c>
      <c r="D288" s="203" t="s">
        <v>54</v>
      </c>
      <c r="E288" s="417"/>
    </row>
    <row r="289" spans="1:6" s="2" customFormat="1" ht="83.45" customHeight="1" outlineLevel="1">
      <c r="A289" s="246" t="s">
        <v>407</v>
      </c>
      <c r="B289" s="133" t="s">
        <v>55</v>
      </c>
      <c r="C289" s="133" t="s">
        <v>56</v>
      </c>
      <c r="D289" s="105" t="s">
        <v>36</v>
      </c>
      <c r="E289" s="332" t="s">
        <v>1355</v>
      </c>
    </row>
    <row r="290" spans="1:6" s="54" customFormat="1" ht="104.45" customHeight="1" outlineLevel="1">
      <c r="A290" s="252" t="s">
        <v>408</v>
      </c>
      <c r="B290" s="101" t="s">
        <v>351</v>
      </c>
      <c r="C290" s="165" t="s">
        <v>1091</v>
      </c>
      <c r="D290" s="203" t="s">
        <v>36</v>
      </c>
      <c r="E290" s="343" t="s">
        <v>1356</v>
      </c>
    </row>
    <row r="291" spans="1:6" s="54" customFormat="1" ht="125.45" customHeight="1" outlineLevel="1">
      <c r="A291" s="246" t="s">
        <v>409</v>
      </c>
      <c r="B291" s="101" t="s">
        <v>182</v>
      </c>
      <c r="C291" s="165" t="s">
        <v>346</v>
      </c>
      <c r="D291" s="203" t="s">
        <v>36</v>
      </c>
      <c r="E291" s="343" t="s">
        <v>1357</v>
      </c>
    </row>
    <row r="292" spans="1:6" s="54" customFormat="1" ht="198.6" customHeight="1" outlineLevel="1">
      <c r="A292" s="252" t="s">
        <v>410</v>
      </c>
      <c r="B292" s="101" t="s">
        <v>348</v>
      </c>
      <c r="C292" s="165" t="s">
        <v>349</v>
      </c>
      <c r="D292" s="203" t="s">
        <v>36</v>
      </c>
      <c r="E292" s="334" t="s">
        <v>1358</v>
      </c>
    </row>
    <row r="293" spans="1:6" s="2" customFormat="1" ht="145.15" customHeight="1" outlineLevel="1">
      <c r="A293" s="246" t="s">
        <v>411</v>
      </c>
      <c r="B293" s="101" t="s">
        <v>331</v>
      </c>
      <c r="C293" s="253" t="s">
        <v>1092</v>
      </c>
      <c r="D293" s="203" t="s">
        <v>52</v>
      </c>
      <c r="E293" s="334" t="s">
        <v>1359</v>
      </c>
    </row>
    <row r="294" spans="1:6" s="2" customFormat="1" ht="106.9" customHeight="1" outlineLevel="1">
      <c r="A294" s="252" t="s">
        <v>412</v>
      </c>
      <c r="B294" s="101" t="s">
        <v>1089</v>
      </c>
      <c r="C294" s="165" t="s">
        <v>1093</v>
      </c>
      <c r="D294" s="203" t="s">
        <v>36</v>
      </c>
      <c r="E294" s="334" t="s">
        <v>1360</v>
      </c>
    </row>
    <row r="295" spans="1:6" s="54" customFormat="1" ht="114.6" customHeight="1" outlineLevel="1">
      <c r="A295" s="246" t="s">
        <v>413</v>
      </c>
      <c r="B295" s="101" t="s">
        <v>1090</v>
      </c>
      <c r="C295" s="165" t="s">
        <v>1094</v>
      </c>
      <c r="D295" s="203" t="s">
        <v>36</v>
      </c>
      <c r="E295" s="343" t="s">
        <v>1361</v>
      </c>
      <c r="F295" s="55"/>
    </row>
    <row r="296" spans="1:6" s="2" customFormat="1" ht="36.75" customHeight="1" outlineLevel="1">
      <c r="A296" s="347" t="s">
        <v>414</v>
      </c>
      <c r="B296" s="348" t="s">
        <v>629</v>
      </c>
      <c r="C296" s="140"/>
      <c r="D296" s="248"/>
      <c r="E296" s="349" t="s">
        <v>1362</v>
      </c>
      <c r="F296" s="20"/>
    </row>
    <row r="297" spans="1:6" s="2" customFormat="1" ht="189.6" customHeight="1" outlineLevel="1">
      <c r="A297" s="240" t="s">
        <v>721</v>
      </c>
      <c r="B297" s="101" t="s">
        <v>633</v>
      </c>
      <c r="C297" s="310" t="s">
        <v>632</v>
      </c>
      <c r="D297" s="127" t="s">
        <v>631</v>
      </c>
      <c r="E297" s="342" t="s">
        <v>1363</v>
      </c>
      <c r="F297" s="20"/>
    </row>
    <row r="298" spans="1:6" s="2" customFormat="1" ht="114" customHeight="1" outlineLevel="1">
      <c r="A298" s="256" t="s">
        <v>722</v>
      </c>
      <c r="B298" s="101" t="s">
        <v>630</v>
      </c>
      <c r="C298" s="310" t="s">
        <v>1096</v>
      </c>
      <c r="D298" s="127" t="s">
        <v>631</v>
      </c>
      <c r="E298" s="342" t="s">
        <v>1364</v>
      </c>
      <c r="F298" s="20"/>
    </row>
    <row r="299" spans="1:6" s="2" customFormat="1" ht="138" customHeight="1" outlineLevel="1">
      <c r="A299" s="240" t="s">
        <v>726</v>
      </c>
      <c r="B299" s="101" t="s">
        <v>723</v>
      </c>
      <c r="C299" s="310" t="s">
        <v>1097</v>
      </c>
      <c r="D299" s="350" t="s">
        <v>740</v>
      </c>
      <c r="E299" s="342" t="s">
        <v>1365</v>
      </c>
      <c r="F299" s="20"/>
    </row>
    <row r="300" spans="1:6" s="2" customFormat="1" ht="53.25" customHeight="1" outlineLevel="1">
      <c r="A300" s="256" t="s">
        <v>727</v>
      </c>
      <c r="B300" s="101" t="s">
        <v>724</v>
      </c>
      <c r="C300" s="310" t="s">
        <v>1095</v>
      </c>
      <c r="D300" s="350" t="s">
        <v>52</v>
      </c>
      <c r="E300" s="342" t="s">
        <v>1377</v>
      </c>
      <c r="F300" s="20"/>
    </row>
    <row r="301" spans="1:6" s="2" customFormat="1" ht="85.9" customHeight="1" outlineLevel="1">
      <c r="A301" s="240" t="s">
        <v>728</v>
      </c>
      <c r="B301" s="101" t="s">
        <v>725</v>
      </c>
      <c r="C301" s="310" t="s">
        <v>1098</v>
      </c>
      <c r="D301" s="350" t="s">
        <v>52</v>
      </c>
      <c r="E301" s="342" t="s">
        <v>1378</v>
      </c>
      <c r="F301" s="20"/>
    </row>
    <row r="302" spans="1:6" s="2" customFormat="1" ht="126" customHeight="1" outlineLevel="1">
      <c r="A302" s="246" t="s">
        <v>415</v>
      </c>
      <c r="B302" s="101" t="s">
        <v>1379</v>
      </c>
      <c r="C302" s="310" t="s">
        <v>1099</v>
      </c>
      <c r="D302" s="350" t="s">
        <v>736</v>
      </c>
      <c r="E302" s="342" t="s">
        <v>1384</v>
      </c>
      <c r="F302" s="20"/>
    </row>
    <row r="303" spans="1:6" s="2" customFormat="1" ht="125.25" customHeight="1" outlineLevel="1">
      <c r="A303" s="246" t="s">
        <v>416</v>
      </c>
      <c r="B303" s="101" t="s">
        <v>1380</v>
      </c>
      <c r="C303" s="310" t="s">
        <v>1103</v>
      </c>
      <c r="D303" s="350" t="s">
        <v>736</v>
      </c>
      <c r="E303" s="342" t="s">
        <v>1383</v>
      </c>
      <c r="F303" s="20"/>
    </row>
    <row r="304" spans="1:6" s="2" customFormat="1" ht="175.5" customHeight="1" outlineLevel="1">
      <c r="A304" s="246" t="s">
        <v>417</v>
      </c>
      <c r="B304" s="101" t="s">
        <v>1381</v>
      </c>
      <c r="C304" s="310" t="s">
        <v>1102</v>
      </c>
      <c r="D304" s="350" t="s">
        <v>736</v>
      </c>
      <c r="E304" s="342" t="s">
        <v>1385</v>
      </c>
      <c r="F304" s="20"/>
    </row>
    <row r="305" spans="1:6" s="2" customFormat="1" ht="179.25" customHeight="1" outlineLevel="1">
      <c r="A305" s="246" t="s">
        <v>653</v>
      </c>
      <c r="B305" s="101" t="s">
        <v>1382</v>
      </c>
      <c r="C305" s="310" t="s">
        <v>1101</v>
      </c>
      <c r="D305" s="350" t="s">
        <v>736</v>
      </c>
      <c r="E305" s="342" t="s">
        <v>1386</v>
      </c>
      <c r="F305" s="20"/>
    </row>
    <row r="306" spans="1:6" s="2" customFormat="1" ht="55.5" customHeight="1" outlineLevel="1">
      <c r="A306" s="246" t="s">
        <v>654</v>
      </c>
      <c r="B306" s="101" t="s">
        <v>730</v>
      </c>
      <c r="C306" s="310" t="s">
        <v>1100</v>
      </c>
      <c r="D306" s="184" t="s">
        <v>739</v>
      </c>
      <c r="E306" s="342" t="s">
        <v>1387</v>
      </c>
      <c r="F306" s="20"/>
    </row>
    <row r="307" spans="1:6" s="2" customFormat="1" ht="137.44999999999999" customHeight="1" outlineLevel="1">
      <c r="A307" s="246" t="s">
        <v>418</v>
      </c>
      <c r="B307" s="247" t="s">
        <v>319</v>
      </c>
      <c r="C307" s="179" t="s">
        <v>502</v>
      </c>
      <c r="D307" s="351" t="s">
        <v>320</v>
      </c>
      <c r="E307" s="342" t="s">
        <v>1388</v>
      </c>
    </row>
    <row r="308" spans="1:6" s="2" customFormat="1" ht="70.150000000000006" customHeight="1" outlineLevel="1">
      <c r="A308" s="246" t="s">
        <v>419</v>
      </c>
      <c r="B308" s="101" t="s">
        <v>353</v>
      </c>
      <c r="C308" s="165" t="s">
        <v>1104</v>
      </c>
      <c r="D308" s="127" t="s">
        <v>36</v>
      </c>
      <c r="E308" s="334" t="s">
        <v>1389</v>
      </c>
    </row>
    <row r="309" spans="1:6" s="2" customFormat="1" ht="47.45" customHeight="1" outlineLevel="1">
      <c r="A309" s="246" t="s">
        <v>420</v>
      </c>
      <c r="B309" s="101" t="s">
        <v>841</v>
      </c>
      <c r="C309" s="165" t="s">
        <v>840</v>
      </c>
      <c r="D309" s="127" t="s">
        <v>36</v>
      </c>
      <c r="E309" s="334" t="s">
        <v>1390</v>
      </c>
    </row>
    <row r="310" spans="1:6" s="2" customFormat="1" ht="126.6" customHeight="1" outlineLevel="1">
      <c r="A310" s="246" t="s">
        <v>421</v>
      </c>
      <c r="B310" s="101" t="s">
        <v>593</v>
      </c>
      <c r="C310" s="165" t="s">
        <v>1105</v>
      </c>
      <c r="D310" s="127" t="s">
        <v>36</v>
      </c>
      <c r="E310" s="334" t="s">
        <v>1391</v>
      </c>
    </row>
    <row r="311" spans="1:6" s="2" customFormat="1" ht="120.6" customHeight="1" outlineLevel="1">
      <c r="A311" s="246" t="s">
        <v>422</v>
      </c>
      <c r="B311" s="101" t="s">
        <v>673</v>
      </c>
      <c r="C311" s="165" t="s">
        <v>1106</v>
      </c>
      <c r="D311" s="130" t="s">
        <v>36</v>
      </c>
      <c r="E311" s="334" t="s">
        <v>1392</v>
      </c>
    </row>
    <row r="312" spans="1:6" s="2" customFormat="1" ht="138" customHeight="1" outlineLevel="1">
      <c r="A312" s="246" t="s">
        <v>423</v>
      </c>
      <c r="B312" s="101" t="s">
        <v>698</v>
      </c>
      <c r="C312" s="165" t="s">
        <v>1107</v>
      </c>
      <c r="D312" s="130" t="s">
        <v>36</v>
      </c>
      <c r="E312" s="334" t="s">
        <v>1393</v>
      </c>
    </row>
    <row r="313" spans="1:6" s="2" customFormat="1" ht="159" customHeight="1" outlineLevel="1">
      <c r="A313" s="246" t="s">
        <v>604</v>
      </c>
      <c r="B313" s="101" t="s">
        <v>1394</v>
      </c>
      <c r="C313" s="165" t="s">
        <v>1108</v>
      </c>
      <c r="D313" s="208" t="s">
        <v>36</v>
      </c>
      <c r="E313" s="342" t="s">
        <v>1395</v>
      </c>
    </row>
    <row r="314" spans="1:6" s="2" customFormat="1" ht="130.15" customHeight="1" outlineLevel="1">
      <c r="A314" s="246" t="s">
        <v>424</v>
      </c>
      <c r="B314" s="101" t="s">
        <v>1396</v>
      </c>
      <c r="C314" s="165" t="s">
        <v>1109</v>
      </c>
      <c r="D314" s="208" t="s">
        <v>36</v>
      </c>
      <c r="E314" s="342" t="s">
        <v>1397</v>
      </c>
    </row>
    <row r="315" spans="1:6" s="2" customFormat="1" ht="157.9" customHeight="1" outlineLevel="1">
      <c r="A315" s="246" t="s">
        <v>708</v>
      </c>
      <c r="B315" s="310" t="s">
        <v>1398</v>
      </c>
      <c r="C315" s="310" t="s">
        <v>1110</v>
      </c>
      <c r="D315" s="352" t="s">
        <v>670</v>
      </c>
      <c r="E315" s="332" t="s">
        <v>1401</v>
      </c>
    </row>
    <row r="316" spans="1:6" s="2" customFormat="1" ht="190.9" customHeight="1" outlineLevel="1">
      <c r="A316" s="246" t="s">
        <v>425</v>
      </c>
      <c r="B316" s="133" t="s">
        <v>1399</v>
      </c>
      <c r="C316" s="310" t="s">
        <v>1111</v>
      </c>
      <c r="D316" s="184" t="s">
        <v>36</v>
      </c>
      <c r="E316" s="338" t="s">
        <v>1400</v>
      </c>
    </row>
    <row r="317" spans="1:6" s="2" customFormat="1" ht="132" customHeight="1" outlineLevel="1">
      <c r="A317" s="246" t="s">
        <v>426</v>
      </c>
      <c r="B317" s="101" t="s">
        <v>1113</v>
      </c>
      <c r="C317" s="253" t="s">
        <v>1112</v>
      </c>
      <c r="D317" s="184" t="s">
        <v>35</v>
      </c>
      <c r="E317" s="342" t="s">
        <v>1402</v>
      </c>
    </row>
    <row r="318" spans="1:6" s="2" customFormat="1" ht="159" customHeight="1" outlineLevel="1">
      <c r="A318" s="246" t="s">
        <v>427</v>
      </c>
      <c r="B318" s="101" t="s">
        <v>1114</v>
      </c>
      <c r="C318" s="253" t="s">
        <v>1115</v>
      </c>
      <c r="D318" s="184" t="s">
        <v>35</v>
      </c>
      <c r="E318" s="342" t="s">
        <v>1403</v>
      </c>
    </row>
    <row r="319" spans="1:6" s="2" customFormat="1" ht="163.9" customHeight="1" outlineLevel="1">
      <c r="A319" s="246" t="s">
        <v>428</v>
      </c>
      <c r="B319" s="101" t="s">
        <v>1404</v>
      </c>
      <c r="C319" s="165" t="s">
        <v>336</v>
      </c>
      <c r="D319" s="127" t="s">
        <v>54</v>
      </c>
      <c r="E319" s="334" t="s">
        <v>1405</v>
      </c>
    </row>
    <row r="320" spans="1:6" s="2" customFormat="1" ht="94.15" customHeight="1" outlineLevel="1">
      <c r="A320" s="246" t="s">
        <v>429</v>
      </c>
      <c r="B320" s="310" t="s">
        <v>1118</v>
      </c>
      <c r="C320" s="165" t="s">
        <v>355</v>
      </c>
      <c r="D320" s="127" t="s">
        <v>277</v>
      </c>
      <c r="E320" s="334" t="s">
        <v>1408</v>
      </c>
    </row>
    <row r="321" spans="1:5" s="2" customFormat="1" ht="88.5" customHeight="1" outlineLevel="1">
      <c r="A321" s="246" t="s">
        <v>430</v>
      </c>
      <c r="B321" s="101" t="s">
        <v>603</v>
      </c>
      <c r="C321" s="165" t="s">
        <v>1117</v>
      </c>
      <c r="D321" s="127" t="s">
        <v>36</v>
      </c>
      <c r="E321" s="334" t="s">
        <v>1409</v>
      </c>
    </row>
    <row r="322" spans="1:5" s="2" customFormat="1" ht="94.9" customHeight="1" outlineLevel="1">
      <c r="A322" s="246" t="s">
        <v>431</v>
      </c>
      <c r="B322" s="133" t="s">
        <v>60</v>
      </c>
      <c r="C322" s="133" t="s">
        <v>1116</v>
      </c>
      <c r="D322" s="184" t="s">
        <v>36</v>
      </c>
      <c r="E322" s="332" t="s">
        <v>1410</v>
      </c>
    </row>
    <row r="323" spans="1:5" s="2" customFormat="1" ht="178.5" outlineLevel="1">
      <c r="A323" s="246" t="s">
        <v>432</v>
      </c>
      <c r="B323" s="133" t="s">
        <v>59</v>
      </c>
      <c r="C323" s="152" t="s">
        <v>1412</v>
      </c>
      <c r="D323" s="184" t="s">
        <v>50</v>
      </c>
      <c r="E323" s="332" t="s">
        <v>1411</v>
      </c>
    </row>
    <row r="324" spans="1:5" s="2" customFormat="1" ht="31.5" customHeight="1" outlineLevel="1">
      <c r="A324" s="384" t="s">
        <v>392</v>
      </c>
      <c r="B324" s="384"/>
      <c r="C324" s="384"/>
      <c r="D324" s="341"/>
      <c r="E324" s="344" t="s">
        <v>1413</v>
      </c>
    </row>
    <row r="325" spans="1:5" s="2" customFormat="1" ht="97.15" customHeight="1" outlineLevel="1">
      <c r="A325" s="246" t="s">
        <v>541</v>
      </c>
      <c r="B325" s="133" t="s">
        <v>232</v>
      </c>
      <c r="C325" s="133" t="s">
        <v>233</v>
      </c>
      <c r="D325" s="214" t="s">
        <v>1</v>
      </c>
      <c r="E325" s="337" t="s">
        <v>1414</v>
      </c>
    </row>
    <row r="326" spans="1:5" s="2" customFormat="1" ht="216.6" customHeight="1" outlineLevel="1">
      <c r="A326" s="246" t="s">
        <v>542</v>
      </c>
      <c r="B326" s="133" t="s">
        <v>20</v>
      </c>
      <c r="C326" s="133" t="s">
        <v>1124</v>
      </c>
      <c r="D326" s="135" t="s">
        <v>49</v>
      </c>
      <c r="E326" s="332" t="s">
        <v>1415</v>
      </c>
    </row>
    <row r="327" spans="1:5" s="2" customFormat="1" ht="114.75" outlineLevel="1">
      <c r="A327" s="246" t="s">
        <v>543</v>
      </c>
      <c r="B327" s="133" t="s">
        <v>184</v>
      </c>
      <c r="C327" s="133" t="s">
        <v>1122</v>
      </c>
      <c r="D327" s="353" t="s">
        <v>1</v>
      </c>
      <c r="E327" s="337" t="s">
        <v>1416</v>
      </c>
    </row>
    <row r="328" spans="1:5" s="2" customFormat="1" ht="140.25" outlineLevel="1">
      <c r="A328" s="246" t="s">
        <v>544</v>
      </c>
      <c r="B328" s="133" t="s">
        <v>173</v>
      </c>
      <c r="C328" s="133" t="s">
        <v>1123</v>
      </c>
      <c r="D328" s="353" t="s">
        <v>1</v>
      </c>
      <c r="E328" s="337" t="s">
        <v>1417</v>
      </c>
    </row>
    <row r="329" spans="1:5" s="2" customFormat="1" ht="144.6" customHeight="1" outlineLevel="1">
      <c r="A329" s="246" t="s">
        <v>545</v>
      </c>
      <c r="B329" s="133" t="s">
        <v>51</v>
      </c>
      <c r="C329" s="133" t="s">
        <v>140</v>
      </c>
      <c r="D329" s="184" t="s">
        <v>52</v>
      </c>
      <c r="E329" s="332" t="s">
        <v>1418</v>
      </c>
    </row>
    <row r="330" spans="1:5" s="2" customFormat="1" ht="51" outlineLevel="1">
      <c r="A330" s="246" t="s">
        <v>546</v>
      </c>
      <c r="B330" s="138" t="s">
        <v>1125</v>
      </c>
      <c r="C330" s="133" t="s">
        <v>1119</v>
      </c>
      <c r="D330" s="127" t="s">
        <v>709</v>
      </c>
      <c r="E330" s="431" t="s">
        <v>1419</v>
      </c>
    </row>
    <row r="331" spans="1:5" s="2" customFormat="1" ht="51" outlineLevel="1">
      <c r="A331" s="246" t="s">
        <v>547</v>
      </c>
      <c r="B331" s="138" t="s">
        <v>1126</v>
      </c>
      <c r="C331" s="133" t="s">
        <v>1120</v>
      </c>
      <c r="D331" s="127" t="s">
        <v>710</v>
      </c>
      <c r="E331" s="431"/>
    </row>
    <row r="332" spans="1:5" s="2" customFormat="1" ht="85.5" customHeight="1" outlineLevel="1">
      <c r="A332" s="246" t="s">
        <v>548</v>
      </c>
      <c r="B332" s="310" t="s">
        <v>1127</v>
      </c>
      <c r="C332" s="133" t="s">
        <v>289</v>
      </c>
      <c r="D332" s="127" t="s">
        <v>54</v>
      </c>
      <c r="E332" s="431"/>
    </row>
    <row r="333" spans="1:5" s="2" customFormat="1" ht="63.75" outlineLevel="1">
      <c r="A333" s="246" t="s">
        <v>549</v>
      </c>
      <c r="B333" s="310" t="s">
        <v>1128</v>
      </c>
      <c r="C333" s="133" t="s">
        <v>291</v>
      </c>
      <c r="D333" s="127" t="s">
        <v>54</v>
      </c>
      <c r="E333" s="431"/>
    </row>
    <row r="334" spans="1:5" s="2" customFormat="1" ht="63.75" outlineLevel="1">
      <c r="A334" s="246" t="s">
        <v>550</v>
      </c>
      <c r="B334" s="310" t="s">
        <v>1129</v>
      </c>
      <c r="C334" s="133" t="s">
        <v>293</v>
      </c>
      <c r="D334" s="127" t="s">
        <v>54</v>
      </c>
      <c r="E334" s="431"/>
    </row>
    <row r="335" spans="1:5" s="2" customFormat="1" ht="63.75" outlineLevel="1">
      <c r="A335" s="246" t="s">
        <v>551</v>
      </c>
      <c r="B335" s="310" t="s">
        <v>1130</v>
      </c>
      <c r="C335" s="165" t="s">
        <v>295</v>
      </c>
      <c r="D335" s="130" t="s">
        <v>54</v>
      </c>
      <c r="E335" s="431"/>
    </row>
    <row r="336" spans="1:5" s="2" customFormat="1" ht="63.75" outlineLevel="1">
      <c r="A336" s="246" t="s">
        <v>552</v>
      </c>
      <c r="B336" s="310" t="s">
        <v>1131</v>
      </c>
      <c r="C336" s="165" t="s">
        <v>297</v>
      </c>
      <c r="D336" s="130" t="s">
        <v>54</v>
      </c>
      <c r="E336" s="431"/>
    </row>
    <row r="337" spans="1:7" s="2" customFormat="1" ht="74.45" customHeight="1" outlineLevel="1">
      <c r="A337" s="246" t="s">
        <v>553</v>
      </c>
      <c r="B337" s="133" t="s">
        <v>1132</v>
      </c>
      <c r="C337" s="133" t="s">
        <v>63</v>
      </c>
      <c r="D337" s="135" t="s">
        <v>54</v>
      </c>
      <c r="E337" s="423" t="s">
        <v>1420</v>
      </c>
      <c r="F337" s="9"/>
    </row>
    <row r="338" spans="1:7" s="2" customFormat="1" ht="97.9" customHeight="1" outlineLevel="1">
      <c r="A338" s="246" t="s">
        <v>731</v>
      </c>
      <c r="B338" s="133" t="s">
        <v>1133</v>
      </c>
      <c r="C338" s="354" t="s">
        <v>1121</v>
      </c>
      <c r="D338" s="135" t="s">
        <v>54</v>
      </c>
      <c r="E338" s="423"/>
      <c r="F338" s="10"/>
    </row>
    <row r="339" spans="1:7" s="2" customFormat="1" ht="58.15" customHeight="1" outlineLevel="1">
      <c r="A339" s="246" t="s">
        <v>732</v>
      </c>
      <c r="B339" s="133" t="s">
        <v>1299</v>
      </c>
      <c r="C339" s="133" t="s">
        <v>63</v>
      </c>
      <c r="D339" s="135" t="s">
        <v>54</v>
      </c>
      <c r="E339" s="423"/>
      <c r="F339" s="11"/>
      <c r="G339" s="11"/>
    </row>
    <row r="340" spans="1:7" s="2" customFormat="1" ht="67.150000000000006" customHeight="1" outlineLevel="1">
      <c r="A340" s="246" t="s">
        <v>733</v>
      </c>
      <c r="B340" s="133" t="s">
        <v>1135</v>
      </c>
      <c r="C340" s="133" t="s">
        <v>63</v>
      </c>
      <c r="D340" s="135" t="s">
        <v>54</v>
      </c>
      <c r="E340" s="423"/>
    </row>
    <row r="341" spans="1:7" s="2" customFormat="1" ht="76.150000000000006" customHeight="1" outlineLevel="1">
      <c r="A341" s="401" t="s">
        <v>848</v>
      </c>
      <c r="B341" s="402"/>
      <c r="C341" s="402"/>
      <c r="D341" s="402"/>
      <c r="E341" s="402"/>
    </row>
    <row r="342" spans="1:7" s="2" customFormat="1" ht="26.25" customHeight="1">
      <c r="A342" s="378" t="s">
        <v>433</v>
      </c>
      <c r="B342" s="378"/>
      <c r="C342" s="378"/>
      <c r="D342" s="63"/>
      <c r="E342" s="355" t="s">
        <v>1421</v>
      </c>
    </row>
    <row r="343" spans="1:7" s="2" customFormat="1" ht="25.5" customHeight="1" outlineLevel="1">
      <c r="A343" s="400" t="s">
        <v>109</v>
      </c>
      <c r="B343" s="400"/>
      <c r="C343" s="400"/>
      <c r="D343" s="212"/>
      <c r="E343" s="356"/>
    </row>
    <row r="344" spans="1:7" s="2" customFormat="1" ht="242.25" outlineLevel="1">
      <c r="A344" s="309" t="s">
        <v>434</v>
      </c>
      <c r="B344" s="166" t="s">
        <v>110</v>
      </c>
      <c r="C344" s="166" t="s">
        <v>1423</v>
      </c>
      <c r="D344" s="135" t="s">
        <v>111</v>
      </c>
      <c r="E344" s="332" t="s">
        <v>1424</v>
      </c>
    </row>
    <row r="345" spans="1:7" s="2" customFormat="1" ht="103.15" customHeight="1" outlineLevel="1">
      <c r="A345" s="309" t="s">
        <v>435</v>
      </c>
      <c r="B345" s="166" t="s">
        <v>74</v>
      </c>
      <c r="C345" s="166" t="s">
        <v>106</v>
      </c>
      <c r="D345" s="135" t="s">
        <v>37</v>
      </c>
      <c r="E345" s="332" t="s">
        <v>1425</v>
      </c>
    </row>
    <row r="346" spans="1:7" s="2" customFormat="1" ht="102" outlineLevel="1">
      <c r="A346" s="309" t="s">
        <v>436</v>
      </c>
      <c r="B346" s="166" t="s">
        <v>112</v>
      </c>
      <c r="C346" s="166" t="s">
        <v>113</v>
      </c>
      <c r="D346" s="135" t="s">
        <v>111</v>
      </c>
      <c r="E346" s="332" t="s">
        <v>1426</v>
      </c>
    </row>
    <row r="347" spans="1:7" s="2" customFormat="1" ht="153" outlineLevel="1">
      <c r="A347" s="309" t="s">
        <v>437</v>
      </c>
      <c r="B347" s="166" t="s">
        <v>580</v>
      </c>
      <c r="C347" s="166" t="s">
        <v>114</v>
      </c>
      <c r="D347" s="135" t="s">
        <v>111</v>
      </c>
      <c r="E347" s="332" t="s">
        <v>1427</v>
      </c>
    </row>
    <row r="348" spans="1:7" s="2" customFormat="1" ht="89.25" outlineLevel="1">
      <c r="A348" s="309" t="s">
        <v>438</v>
      </c>
      <c r="B348" s="166" t="s">
        <v>1136</v>
      </c>
      <c r="C348" s="166" t="s">
        <v>1137</v>
      </c>
      <c r="D348" s="135" t="s">
        <v>111</v>
      </c>
      <c r="E348" s="332" t="s">
        <v>1428</v>
      </c>
    </row>
    <row r="349" spans="1:7" s="2" customFormat="1" ht="89.25" outlineLevel="1">
      <c r="A349" s="309" t="s">
        <v>439</v>
      </c>
      <c r="B349" s="166" t="s">
        <v>1138</v>
      </c>
      <c r="C349" s="166" t="s">
        <v>115</v>
      </c>
      <c r="D349" s="135" t="s">
        <v>111</v>
      </c>
      <c r="E349" s="332" t="s">
        <v>1429</v>
      </c>
    </row>
    <row r="350" spans="1:7" s="2" customFormat="1" ht="153.75" outlineLevel="1">
      <c r="A350" s="309" t="s">
        <v>440</v>
      </c>
      <c r="B350" s="166" t="s">
        <v>116</v>
      </c>
      <c r="C350" s="270" t="s">
        <v>117</v>
      </c>
      <c r="D350" s="135" t="s">
        <v>111</v>
      </c>
      <c r="E350" s="332" t="s">
        <v>1430</v>
      </c>
    </row>
    <row r="351" spans="1:7" s="2" customFormat="1" ht="153" outlineLevel="1">
      <c r="A351" s="309" t="s">
        <v>441</v>
      </c>
      <c r="B351" s="166" t="s">
        <v>38</v>
      </c>
      <c r="C351" s="166" t="s">
        <v>582</v>
      </c>
      <c r="D351" s="135" t="s">
        <v>37</v>
      </c>
      <c r="E351" s="332" t="s">
        <v>1431</v>
      </c>
    </row>
    <row r="352" spans="1:7" s="2" customFormat="1" ht="25.5" customHeight="1" outlineLevel="1">
      <c r="A352" s="271" t="s">
        <v>118</v>
      </c>
      <c r="B352" s="272"/>
      <c r="C352" s="272"/>
      <c r="D352" s="273"/>
      <c r="E352" s="357" t="s">
        <v>1432</v>
      </c>
    </row>
    <row r="353" spans="1:5" s="2" customFormat="1" ht="25.5" customHeight="1" outlineLevel="1">
      <c r="A353" s="274" t="s">
        <v>119</v>
      </c>
      <c r="B353" s="275"/>
      <c r="C353" s="275"/>
      <c r="D353" s="276"/>
      <c r="E353" s="302"/>
    </row>
    <row r="354" spans="1:5" s="2" customFormat="1" ht="84.6" customHeight="1" outlineLevel="1">
      <c r="A354" s="309" t="s">
        <v>442</v>
      </c>
      <c r="B354" s="133" t="s">
        <v>1139</v>
      </c>
      <c r="C354" s="133" t="s">
        <v>1143</v>
      </c>
      <c r="D354" s="184" t="s">
        <v>36</v>
      </c>
      <c r="E354" s="423" t="s">
        <v>1433</v>
      </c>
    </row>
    <row r="355" spans="1:5" s="2" customFormat="1" ht="114.75" outlineLevel="1">
      <c r="A355" s="309" t="s">
        <v>443</v>
      </c>
      <c r="B355" s="133" t="s">
        <v>1140</v>
      </c>
      <c r="C355" s="133" t="s">
        <v>1144</v>
      </c>
      <c r="D355" s="184" t="s">
        <v>36</v>
      </c>
      <c r="E355" s="423"/>
    </row>
    <row r="356" spans="1:5" s="2" customFormat="1" ht="63.75" outlineLevel="1">
      <c r="A356" s="309" t="s">
        <v>444</v>
      </c>
      <c r="B356" s="133" t="s">
        <v>1141</v>
      </c>
      <c r="C356" s="133" t="s">
        <v>1143</v>
      </c>
      <c r="D356" s="184" t="s">
        <v>36</v>
      </c>
      <c r="E356" s="423"/>
    </row>
    <row r="357" spans="1:5" s="2" customFormat="1" ht="114.75" outlineLevel="1">
      <c r="A357" s="309" t="s">
        <v>445</v>
      </c>
      <c r="B357" s="133" t="s">
        <v>1142</v>
      </c>
      <c r="C357" s="133" t="s">
        <v>1144</v>
      </c>
      <c r="D357" s="184" t="s">
        <v>36</v>
      </c>
      <c r="E357" s="423"/>
    </row>
    <row r="358" spans="1:5" s="2" customFormat="1" ht="69" customHeight="1" outlineLevel="1">
      <c r="A358" s="309" t="s">
        <v>446</v>
      </c>
      <c r="B358" s="133" t="s">
        <v>107</v>
      </c>
      <c r="C358" s="133" t="s">
        <v>122</v>
      </c>
      <c r="D358" s="184" t="s">
        <v>40</v>
      </c>
      <c r="E358" s="332" t="s">
        <v>1434</v>
      </c>
    </row>
    <row r="359" spans="1:5" s="2" customFormat="1" ht="33" customHeight="1" outlineLevel="1">
      <c r="A359" s="274" t="s">
        <v>757</v>
      </c>
      <c r="B359" s="276"/>
      <c r="C359" s="276"/>
      <c r="D359" s="276"/>
      <c r="E359" s="302"/>
    </row>
    <row r="360" spans="1:5" s="2" customFormat="1" ht="293.25" outlineLevel="1">
      <c r="A360" s="309" t="s">
        <v>447</v>
      </c>
      <c r="B360" s="133" t="s">
        <v>39</v>
      </c>
      <c r="C360" s="133" t="s">
        <v>1146</v>
      </c>
      <c r="D360" s="184" t="s">
        <v>111</v>
      </c>
      <c r="E360" s="332" t="s">
        <v>1435</v>
      </c>
    </row>
    <row r="361" spans="1:5" s="2" customFormat="1" ht="140.25" outlineLevel="1">
      <c r="A361" s="309" t="s">
        <v>448</v>
      </c>
      <c r="B361" s="133" t="s">
        <v>1145</v>
      </c>
      <c r="C361" s="133" t="s">
        <v>1147</v>
      </c>
      <c r="D361" s="184" t="s">
        <v>111</v>
      </c>
      <c r="E361" s="332" t="s">
        <v>1436</v>
      </c>
    </row>
    <row r="362" spans="1:5" s="2" customFormat="1" ht="25.5" customHeight="1" outlineLevel="1">
      <c r="A362" s="274" t="s">
        <v>141</v>
      </c>
      <c r="B362" s="276"/>
      <c r="C362" s="276"/>
      <c r="D362" s="276"/>
      <c r="E362" s="302"/>
    </row>
    <row r="363" spans="1:5" s="2" customFormat="1" ht="51" outlineLevel="1">
      <c r="A363" s="278" t="s">
        <v>449</v>
      </c>
      <c r="B363" s="179" t="s">
        <v>8</v>
      </c>
      <c r="C363" s="179" t="s">
        <v>1438</v>
      </c>
      <c r="D363" s="279"/>
      <c r="E363" s="435" t="s">
        <v>1439</v>
      </c>
    </row>
    <row r="364" spans="1:5" s="2" customFormat="1" ht="25.5" outlineLevel="1">
      <c r="A364" s="159" t="s">
        <v>635</v>
      </c>
      <c r="B364" s="166" t="s">
        <v>1148</v>
      </c>
      <c r="C364" s="166"/>
      <c r="D364" s="135" t="s">
        <v>7</v>
      </c>
      <c r="E364" s="435"/>
    </row>
    <row r="365" spans="1:5" s="2" customFormat="1" ht="25.5" outlineLevel="1">
      <c r="A365" s="159" t="s">
        <v>636</v>
      </c>
      <c r="B365" s="166" t="s">
        <v>1149</v>
      </c>
      <c r="C365" s="133"/>
      <c r="D365" s="135" t="s">
        <v>7</v>
      </c>
      <c r="E365" s="435"/>
    </row>
    <row r="366" spans="1:5" s="2" customFormat="1" ht="238.15" customHeight="1" outlineLevel="1">
      <c r="A366" s="309" t="s">
        <v>450</v>
      </c>
      <c r="B366" s="133" t="s">
        <v>142</v>
      </c>
      <c r="C366" s="133" t="s">
        <v>583</v>
      </c>
      <c r="D366" s="135" t="s">
        <v>35</v>
      </c>
      <c r="E366" s="358" t="s">
        <v>1440</v>
      </c>
    </row>
    <row r="367" spans="1:5" s="2" customFormat="1" ht="25.5" customHeight="1" outlineLevel="1">
      <c r="A367" s="274" t="s">
        <v>125</v>
      </c>
      <c r="B367" s="276"/>
      <c r="C367" s="276"/>
      <c r="D367" s="276"/>
      <c r="E367" s="302"/>
    </row>
    <row r="368" spans="1:5" s="2" customFormat="1" ht="51" outlineLevel="1">
      <c r="A368" s="278" t="s">
        <v>451</v>
      </c>
      <c r="B368" s="179" t="s">
        <v>127</v>
      </c>
      <c r="C368" s="179" t="s">
        <v>128</v>
      </c>
      <c r="D368" s="212"/>
      <c r="E368" s="436" t="s">
        <v>1441</v>
      </c>
    </row>
    <row r="369" spans="1:5" s="2" customFormat="1" ht="25.5" outlineLevel="1">
      <c r="A369" s="159" t="s">
        <v>637</v>
      </c>
      <c r="B369" s="166" t="s">
        <v>1153</v>
      </c>
      <c r="C369" s="166"/>
      <c r="D369" s="135" t="s">
        <v>7</v>
      </c>
      <c r="E369" s="436"/>
    </row>
    <row r="370" spans="1:5" s="2" customFormat="1" ht="25.5" outlineLevel="1">
      <c r="A370" s="159" t="s">
        <v>638</v>
      </c>
      <c r="B370" s="166" t="s">
        <v>1154</v>
      </c>
      <c r="C370" s="166"/>
      <c r="D370" s="135" t="s">
        <v>7</v>
      </c>
      <c r="E370" s="436"/>
    </row>
    <row r="371" spans="1:5" s="2" customFormat="1" ht="25.5" outlineLevel="1">
      <c r="A371" s="159" t="s">
        <v>639</v>
      </c>
      <c r="B371" s="166" t="s">
        <v>1151</v>
      </c>
      <c r="C371" s="166"/>
      <c r="D371" s="135" t="s">
        <v>7</v>
      </c>
      <c r="E371" s="436"/>
    </row>
    <row r="372" spans="1:5" s="2" customFormat="1" ht="25.5" outlineLevel="1">
      <c r="A372" s="159" t="s">
        <v>640</v>
      </c>
      <c r="B372" s="166" t="s">
        <v>1152</v>
      </c>
      <c r="C372" s="166"/>
      <c r="D372" s="135" t="s">
        <v>7</v>
      </c>
      <c r="E372" s="436"/>
    </row>
    <row r="373" spans="1:5" s="2" customFormat="1" ht="63.75" outlineLevel="1">
      <c r="A373" s="309" t="s">
        <v>452</v>
      </c>
      <c r="B373" s="166" t="s">
        <v>130</v>
      </c>
      <c r="C373" s="166" t="s">
        <v>1150</v>
      </c>
      <c r="D373" s="135" t="s">
        <v>7</v>
      </c>
      <c r="E373" s="359" t="s">
        <v>1442</v>
      </c>
    </row>
    <row r="374" spans="1:5" s="2" customFormat="1" ht="25.5" customHeight="1" outlineLevel="1">
      <c r="A374" s="284" t="s">
        <v>131</v>
      </c>
      <c r="B374" s="285"/>
      <c r="C374" s="285"/>
      <c r="D374" s="285"/>
      <c r="E374" s="360"/>
    </row>
    <row r="375" spans="1:5" s="2" customFormat="1" ht="174" customHeight="1" outlineLevel="1">
      <c r="A375" s="309" t="s">
        <v>453</v>
      </c>
      <c r="B375" s="166" t="s">
        <v>745</v>
      </c>
      <c r="C375" s="303" t="s">
        <v>1159</v>
      </c>
      <c r="D375" s="133" t="s">
        <v>36</v>
      </c>
      <c r="E375" s="359" t="s">
        <v>1443</v>
      </c>
    </row>
    <row r="376" spans="1:5" s="2" customFormat="1" ht="38.25" outlineLevel="1">
      <c r="A376" s="309" t="s">
        <v>454</v>
      </c>
      <c r="B376" s="179" t="s">
        <v>133</v>
      </c>
      <c r="C376" s="179" t="s">
        <v>136</v>
      </c>
      <c r="D376" s="140"/>
      <c r="E376" s="436" t="s">
        <v>1444</v>
      </c>
    </row>
    <row r="377" spans="1:5" s="2" customFormat="1" outlineLevel="1">
      <c r="A377" s="159" t="s">
        <v>641</v>
      </c>
      <c r="B377" s="166" t="s">
        <v>1156</v>
      </c>
      <c r="C377" s="166"/>
      <c r="D377" s="133" t="s">
        <v>137</v>
      </c>
      <c r="E377" s="436"/>
    </row>
    <row r="378" spans="1:5" s="2" customFormat="1" ht="15.75" customHeight="1" outlineLevel="1">
      <c r="A378" s="159" t="s">
        <v>642</v>
      </c>
      <c r="B378" s="166" t="s">
        <v>1157</v>
      </c>
      <c r="C378" s="166"/>
      <c r="D378" s="133" t="s">
        <v>137</v>
      </c>
      <c r="E378" s="436"/>
    </row>
    <row r="379" spans="1:5" s="2" customFormat="1" outlineLevel="1">
      <c r="A379" s="159" t="s">
        <v>643</v>
      </c>
      <c r="B379" s="166" t="s">
        <v>1158</v>
      </c>
      <c r="C379" s="166"/>
      <c r="D379" s="133" t="s">
        <v>137</v>
      </c>
      <c r="E379" s="436"/>
    </row>
    <row r="380" spans="1:5" s="2" customFormat="1" ht="51" outlineLevel="1">
      <c r="A380" s="309" t="s">
        <v>455</v>
      </c>
      <c r="B380" s="166" t="s">
        <v>135</v>
      </c>
      <c r="C380" s="166" t="s">
        <v>138</v>
      </c>
      <c r="D380" s="133" t="s">
        <v>137</v>
      </c>
      <c r="E380" s="359" t="s">
        <v>1445</v>
      </c>
    </row>
    <row r="381" spans="1:5" s="2" customFormat="1" ht="26.25" customHeight="1">
      <c r="A381" s="378" t="s">
        <v>752</v>
      </c>
      <c r="B381" s="378"/>
      <c r="C381" s="378"/>
      <c r="D381" s="288"/>
      <c r="E381" s="361" t="s">
        <v>1446</v>
      </c>
    </row>
    <row r="382" spans="1:5" s="2" customFormat="1" ht="25.5" customHeight="1" outlineLevel="1">
      <c r="A382" s="406" t="s">
        <v>146</v>
      </c>
      <c r="B382" s="406"/>
      <c r="C382" s="406"/>
      <c r="D382" s="362"/>
      <c r="E382" s="362" t="s">
        <v>1447</v>
      </c>
    </row>
    <row r="383" spans="1:5" s="2" customFormat="1" ht="58.9" customHeight="1" outlineLevel="1">
      <c r="A383" s="159" t="s">
        <v>456</v>
      </c>
      <c r="B383" s="133" t="s">
        <v>1160</v>
      </c>
      <c r="C383" s="133" t="s">
        <v>147</v>
      </c>
      <c r="D383" s="135" t="s">
        <v>148</v>
      </c>
      <c r="E383" s="332" t="s">
        <v>1448</v>
      </c>
    </row>
    <row r="384" spans="1:5" s="2" customFormat="1" ht="62.45" customHeight="1" outlineLevel="1">
      <c r="A384" s="159" t="s">
        <v>457</v>
      </c>
      <c r="B384" s="133" t="s">
        <v>149</v>
      </c>
      <c r="C384" s="133" t="s">
        <v>150</v>
      </c>
      <c r="D384" s="135" t="s">
        <v>151</v>
      </c>
      <c r="E384" s="332" t="s">
        <v>1449</v>
      </c>
    </row>
    <row r="385" spans="1:5" s="2" customFormat="1" ht="25.5" customHeight="1" outlineLevel="1">
      <c r="A385" s="363" t="s">
        <v>152</v>
      </c>
      <c r="B385" s="291"/>
      <c r="C385" s="291"/>
      <c r="D385" s="291"/>
      <c r="E385" s="275" t="s">
        <v>1450</v>
      </c>
    </row>
    <row r="386" spans="1:5" s="2" customFormat="1" ht="34.9" customHeight="1" outlineLevel="1">
      <c r="A386" s="309" t="s">
        <v>559</v>
      </c>
      <c r="B386" s="133" t="s">
        <v>1166</v>
      </c>
      <c r="C386" s="133" t="s">
        <v>1161</v>
      </c>
      <c r="D386" s="135" t="s">
        <v>89</v>
      </c>
      <c r="E386" s="423" t="s">
        <v>1451</v>
      </c>
    </row>
    <row r="387" spans="1:5" s="2" customFormat="1" ht="37.15" customHeight="1" outlineLevel="1">
      <c r="A387" s="309" t="s">
        <v>560</v>
      </c>
      <c r="B387" s="133" t="s">
        <v>1167</v>
      </c>
      <c r="C387" s="133" t="s">
        <v>1162</v>
      </c>
      <c r="D387" s="135" t="s">
        <v>89</v>
      </c>
      <c r="E387" s="423"/>
    </row>
    <row r="388" spans="1:5" s="2" customFormat="1" ht="43.5" customHeight="1" outlineLevel="1">
      <c r="A388" s="309" t="s">
        <v>561</v>
      </c>
      <c r="B388" s="292" t="s">
        <v>1168</v>
      </c>
      <c r="C388" s="133" t="s">
        <v>1162</v>
      </c>
      <c r="D388" s="94" t="s">
        <v>89</v>
      </c>
      <c r="E388" s="423"/>
    </row>
    <row r="389" spans="1:5" s="2" customFormat="1" ht="97.9" customHeight="1" outlineLevel="1">
      <c r="A389" s="309" t="s">
        <v>562</v>
      </c>
      <c r="B389" s="133" t="s">
        <v>153</v>
      </c>
      <c r="C389" s="133" t="s">
        <v>154</v>
      </c>
      <c r="D389" s="135" t="s">
        <v>89</v>
      </c>
      <c r="E389" s="332" t="s">
        <v>1452</v>
      </c>
    </row>
    <row r="390" spans="1:5" s="2" customFormat="1" ht="159.6" customHeight="1" outlineLevel="1">
      <c r="A390" s="309" t="s">
        <v>563</v>
      </c>
      <c r="B390" s="133" t="s">
        <v>1169</v>
      </c>
      <c r="C390" s="133" t="s">
        <v>1163</v>
      </c>
      <c r="D390" s="135" t="s">
        <v>89</v>
      </c>
      <c r="E390" s="332" t="s">
        <v>1453</v>
      </c>
    </row>
    <row r="391" spans="1:5" s="2" customFormat="1" ht="65.45" customHeight="1" outlineLevel="1">
      <c r="A391" s="309" t="s">
        <v>564</v>
      </c>
      <c r="B391" s="133" t="s">
        <v>1170</v>
      </c>
      <c r="C391" s="133" t="s">
        <v>1164</v>
      </c>
      <c r="D391" s="135" t="s">
        <v>89</v>
      </c>
      <c r="E391" s="332" t="s">
        <v>1454</v>
      </c>
    </row>
    <row r="392" spans="1:5" s="2" customFormat="1" ht="89.45" customHeight="1" outlineLevel="1">
      <c r="A392" s="309" t="s">
        <v>565</v>
      </c>
      <c r="B392" s="133" t="s">
        <v>155</v>
      </c>
      <c r="C392" s="133" t="s">
        <v>156</v>
      </c>
      <c r="D392" s="135" t="s">
        <v>89</v>
      </c>
      <c r="E392" s="332" t="s">
        <v>1455</v>
      </c>
    </row>
    <row r="393" spans="1:5" s="2" customFormat="1" ht="60" customHeight="1" outlineLevel="1">
      <c r="A393" s="309" t="s">
        <v>566</v>
      </c>
      <c r="B393" s="133" t="s">
        <v>1171</v>
      </c>
      <c r="C393" s="133" t="s">
        <v>1165</v>
      </c>
      <c r="D393" s="135" t="s">
        <v>89</v>
      </c>
      <c r="E393" s="423" t="s">
        <v>1456</v>
      </c>
    </row>
    <row r="394" spans="1:5" s="2" customFormat="1" ht="67.900000000000006" customHeight="1" outlineLevel="1">
      <c r="A394" s="309" t="s">
        <v>681</v>
      </c>
      <c r="B394" s="133" t="s">
        <v>1172</v>
      </c>
      <c r="C394" s="133" t="s">
        <v>157</v>
      </c>
      <c r="D394" s="135" t="s">
        <v>89</v>
      </c>
      <c r="E394" s="423"/>
    </row>
    <row r="395" spans="1:5" s="2" customFormat="1" ht="26.25" customHeight="1" outlineLevel="1">
      <c r="A395" s="403" t="s">
        <v>158</v>
      </c>
      <c r="B395" s="403"/>
      <c r="C395" s="403"/>
      <c r="D395" s="293"/>
      <c r="E395" s="364" t="s">
        <v>1457</v>
      </c>
    </row>
    <row r="396" spans="1:5" s="2" customFormat="1" ht="165.75" outlineLevel="1">
      <c r="A396" s="296" t="s">
        <v>567</v>
      </c>
      <c r="B396" s="297" t="s">
        <v>1174</v>
      </c>
      <c r="C396" s="298" t="s">
        <v>656</v>
      </c>
      <c r="D396" s="94" t="s">
        <v>89</v>
      </c>
      <c r="E396" s="365" t="s">
        <v>1458</v>
      </c>
    </row>
    <row r="397" spans="1:5" s="2" customFormat="1" ht="90.6" customHeight="1" outlineLevel="1">
      <c r="A397" s="296" t="s">
        <v>568</v>
      </c>
      <c r="B397" s="297" t="s">
        <v>1175</v>
      </c>
      <c r="C397" s="297" t="s">
        <v>156</v>
      </c>
      <c r="D397" s="94" t="s">
        <v>89</v>
      </c>
      <c r="E397" s="365" t="s">
        <v>1459</v>
      </c>
    </row>
    <row r="398" spans="1:5" s="2" customFormat="1" ht="57.6" customHeight="1" outlineLevel="1">
      <c r="A398" s="296" t="s">
        <v>569</v>
      </c>
      <c r="B398" s="297" t="s">
        <v>1176</v>
      </c>
      <c r="C398" s="297" t="s">
        <v>657</v>
      </c>
      <c r="D398" s="94" t="s">
        <v>89</v>
      </c>
      <c r="E398" s="432" t="s">
        <v>1460</v>
      </c>
    </row>
    <row r="399" spans="1:5" s="2" customFormat="1" ht="63" customHeight="1" outlineLevel="1">
      <c r="A399" s="296" t="s">
        <v>570</v>
      </c>
      <c r="B399" s="297" t="s">
        <v>1177</v>
      </c>
      <c r="C399" s="297" t="s">
        <v>658</v>
      </c>
      <c r="D399" s="94" t="s">
        <v>89</v>
      </c>
      <c r="E399" s="433"/>
    </row>
    <row r="400" spans="1:5" s="2" customFormat="1" ht="66" customHeight="1" outlineLevel="1">
      <c r="A400" s="296" t="s">
        <v>571</v>
      </c>
      <c r="B400" s="292" t="s">
        <v>1178</v>
      </c>
      <c r="C400" s="297" t="s">
        <v>657</v>
      </c>
      <c r="D400" s="94" t="s">
        <v>89</v>
      </c>
      <c r="E400" s="433"/>
    </row>
    <row r="401" spans="1:5" s="2" customFormat="1" ht="59.45" customHeight="1" outlineLevel="1">
      <c r="A401" s="296" t="s">
        <v>572</v>
      </c>
      <c r="B401" s="292" t="s">
        <v>1179</v>
      </c>
      <c r="C401" s="297" t="s">
        <v>657</v>
      </c>
      <c r="D401" s="94" t="s">
        <v>89</v>
      </c>
      <c r="E401" s="433"/>
    </row>
    <row r="402" spans="1:5" s="2" customFormat="1" ht="60" customHeight="1" outlineLevel="1">
      <c r="A402" s="296" t="s">
        <v>573</v>
      </c>
      <c r="B402" s="292" t="s">
        <v>1180</v>
      </c>
      <c r="C402" s="297" t="s">
        <v>657</v>
      </c>
      <c r="D402" s="94" t="s">
        <v>89</v>
      </c>
      <c r="E402" s="433"/>
    </row>
    <row r="403" spans="1:5" s="2" customFormat="1" ht="59.45" customHeight="1" outlineLevel="1">
      <c r="A403" s="296" t="s">
        <v>574</v>
      </c>
      <c r="B403" s="292" t="s">
        <v>1173</v>
      </c>
      <c r="C403" s="297" t="s">
        <v>657</v>
      </c>
      <c r="D403" s="94" t="s">
        <v>89</v>
      </c>
      <c r="E403" s="433"/>
    </row>
    <row r="404" spans="1:5" s="2" customFormat="1" ht="61.9" customHeight="1" outlineLevel="1">
      <c r="A404" s="296" t="s">
        <v>575</v>
      </c>
      <c r="B404" s="292" t="s">
        <v>1181</v>
      </c>
      <c r="C404" s="297" t="s">
        <v>657</v>
      </c>
      <c r="D404" s="94" t="s">
        <v>89</v>
      </c>
      <c r="E404" s="433"/>
    </row>
    <row r="405" spans="1:5" s="2" customFormat="1" ht="89.25" outlineLevel="1">
      <c r="A405" s="366" t="s">
        <v>682</v>
      </c>
      <c r="B405" s="297" t="s">
        <v>1182</v>
      </c>
      <c r="C405" s="297" t="s">
        <v>156</v>
      </c>
      <c r="D405" s="94" t="s">
        <v>89</v>
      </c>
      <c r="E405" s="365" t="s">
        <v>1461</v>
      </c>
    </row>
    <row r="406" spans="1:5" s="2" customFormat="1" ht="114.75" outlineLevel="1">
      <c r="A406" s="366" t="s">
        <v>683</v>
      </c>
      <c r="B406" s="297" t="s">
        <v>159</v>
      </c>
      <c r="C406" s="297" t="s">
        <v>160</v>
      </c>
      <c r="D406" s="94" t="s">
        <v>161</v>
      </c>
      <c r="E406" s="365" t="s">
        <v>1462</v>
      </c>
    </row>
    <row r="407" spans="1:5" s="2" customFormat="1" ht="153" outlineLevel="1">
      <c r="A407" s="366" t="s">
        <v>684</v>
      </c>
      <c r="B407" s="297" t="s">
        <v>1183</v>
      </c>
      <c r="C407" s="297" t="s">
        <v>655</v>
      </c>
      <c r="D407" s="94" t="s">
        <v>162</v>
      </c>
      <c r="E407" s="365" t="s">
        <v>1463</v>
      </c>
    </row>
    <row r="408" spans="1:5" s="2" customFormat="1" ht="204" outlineLevel="1">
      <c r="A408" s="366" t="s">
        <v>685</v>
      </c>
      <c r="B408" s="297" t="s">
        <v>1184</v>
      </c>
      <c r="C408" s="297" t="s">
        <v>659</v>
      </c>
      <c r="D408" s="94" t="s">
        <v>162</v>
      </c>
      <c r="E408" s="365" t="s">
        <v>1464</v>
      </c>
    </row>
    <row r="409" spans="1:5" s="2" customFormat="1" ht="182.45" customHeight="1" outlineLevel="1">
      <c r="A409" s="366" t="s">
        <v>686</v>
      </c>
      <c r="B409" s="297" t="s">
        <v>1185</v>
      </c>
      <c r="C409" s="297" t="s">
        <v>660</v>
      </c>
      <c r="D409" s="94" t="s">
        <v>162</v>
      </c>
      <c r="E409" s="365" t="s">
        <v>1465</v>
      </c>
    </row>
    <row r="410" spans="1:5" s="2" customFormat="1" ht="25.5" customHeight="1" outlineLevel="1">
      <c r="A410" s="403" t="s">
        <v>163</v>
      </c>
      <c r="B410" s="403"/>
      <c r="C410" s="403"/>
      <c r="D410" s="293"/>
      <c r="E410" s="367"/>
    </row>
    <row r="411" spans="1:5" s="2" customFormat="1" ht="76.900000000000006" customHeight="1" outlineLevel="1">
      <c r="A411" s="408" t="s">
        <v>576</v>
      </c>
      <c r="B411" s="165" t="s">
        <v>1186</v>
      </c>
      <c r="C411" s="310" t="s">
        <v>164</v>
      </c>
      <c r="D411" s="135" t="s">
        <v>1</v>
      </c>
      <c r="E411" s="423" t="s">
        <v>1466</v>
      </c>
    </row>
    <row r="412" spans="1:5" s="2" customFormat="1" ht="65.45" customHeight="1" outlineLevel="1">
      <c r="A412" s="408"/>
      <c r="B412" s="165" t="s">
        <v>1187</v>
      </c>
      <c r="C412" s="310" t="s">
        <v>622</v>
      </c>
      <c r="D412" s="135" t="s">
        <v>1</v>
      </c>
      <c r="E412" s="423"/>
    </row>
    <row r="413" spans="1:5" s="2" customFormat="1" ht="64.900000000000006" customHeight="1" outlineLevel="1">
      <c r="A413" s="408"/>
      <c r="B413" s="165" t="s">
        <v>1188</v>
      </c>
      <c r="C413" s="310" t="s">
        <v>165</v>
      </c>
      <c r="D413" s="135" t="s">
        <v>1</v>
      </c>
      <c r="E413" s="423"/>
    </row>
    <row r="414" spans="1:5" s="2" customFormat="1" ht="99" customHeight="1" outlineLevel="1">
      <c r="A414" s="309" t="s">
        <v>577</v>
      </c>
      <c r="B414" s="165" t="s">
        <v>166</v>
      </c>
      <c r="C414" s="310" t="s">
        <v>167</v>
      </c>
      <c r="D414" s="135" t="s">
        <v>1</v>
      </c>
      <c r="E414" s="332" t="s">
        <v>1467</v>
      </c>
    </row>
    <row r="415" spans="1:5" s="2" customFormat="1" ht="57.6" customHeight="1" outlineLevel="1">
      <c r="A415" s="309" t="s">
        <v>578</v>
      </c>
      <c r="B415" s="165" t="s">
        <v>168</v>
      </c>
      <c r="C415" s="310" t="s">
        <v>169</v>
      </c>
      <c r="D415" s="135" t="s">
        <v>1</v>
      </c>
      <c r="E415" s="332" t="s">
        <v>1468</v>
      </c>
    </row>
    <row r="416" spans="1:5" s="2" customFormat="1" ht="63.75" outlineLevel="1">
      <c r="A416" s="309" t="s">
        <v>579</v>
      </c>
      <c r="B416" s="165" t="s">
        <v>170</v>
      </c>
      <c r="C416" s="310" t="s">
        <v>171</v>
      </c>
      <c r="D416" s="135" t="s">
        <v>1</v>
      </c>
      <c r="E416" s="332" t="s">
        <v>1469</v>
      </c>
    </row>
    <row r="417" spans="1:5" s="2" customFormat="1" ht="25.5" customHeight="1" outlineLevel="1">
      <c r="A417" s="403" t="s">
        <v>172</v>
      </c>
      <c r="B417" s="403"/>
      <c r="C417" s="403"/>
      <c r="D417" s="293"/>
      <c r="E417" s="367"/>
    </row>
    <row r="418" spans="1:5" s="2" customFormat="1" ht="55.9" customHeight="1" outlineLevel="1">
      <c r="A418" s="309" t="s">
        <v>687</v>
      </c>
      <c r="B418" s="133" t="s">
        <v>173</v>
      </c>
      <c r="C418" s="133" t="s">
        <v>1471</v>
      </c>
      <c r="D418" s="135" t="s">
        <v>1</v>
      </c>
      <c r="E418" s="332" t="s">
        <v>1470</v>
      </c>
    </row>
    <row r="419" spans="1:5" s="2" customFormat="1" ht="34.9" customHeight="1" outlineLevel="1">
      <c r="A419" s="309" t="s">
        <v>688</v>
      </c>
      <c r="B419" s="133" t="s">
        <v>1190</v>
      </c>
      <c r="C419" s="133" t="s">
        <v>674</v>
      </c>
      <c r="D419" s="94" t="s">
        <v>1</v>
      </c>
      <c r="E419" s="423" t="s">
        <v>1472</v>
      </c>
    </row>
    <row r="420" spans="1:5" s="2" customFormat="1" ht="35.450000000000003" customHeight="1" outlineLevel="1">
      <c r="A420" s="309" t="s">
        <v>689</v>
      </c>
      <c r="B420" s="133" t="s">
        <v>1191</v>
      </c>
      <c r="C420" s="133" t="s">
        <v>675</v>
      </c>
      <c r="D420" s="94" t="s">
        <v>1</v>
      </c>
      <c r="E420" s="423"/>
    </row>
    <row r="421" spans="1:5" s="2" customFormat="1" ht="43.5" customHeight="1" outlineLevel="1">
      <c r="A421" s="309" t="s">
        <v>459</v>
      </c>
      <c r="B421" s="133" t="s">
        <v>1192</v>
      </c>
      <c r="C421" s="133" t="s">
        <v>676</v>
      </c>
      <c r="D421" s="94" t="s">
        <v>1</v>
      </c>
      <c r="E421" s="423" t="s">
        <v>1473</v>
      </c>
    </row>
    <row r="422" spans="1:5" s="2" customFormat="1" ht="43.5" customHeight="1" outlineLevel="1">
      <c r="A422" s="309" t="s">
        <v>460</v>
      </c>
      <c r="B422" s="133" t="s">
        <v>1193</v>
      </c>
      <c r="C422" s="133" t="s">
        <v>677</v>
      </c>
      <c r="D422" s="94" t="s">
        <v>1</v>
      </c>
      <c r="E422" s="423"/>
    </row>
    <row r="423" spans="1:5" s="2" customFormat="1" ht="156" customHeight="1" outlineLevel="1">
      <c r="A423" s="309" t="s">
        <v>461</v>
      </c>
      <c r="B423" s="133" t="s">
        <v>1194</v>
      </c>
      <c r="C423" s="133" t="s">
        <v>175</v>
      </c>
      <c r="D423" s="135" t="s">
        <v>1</v>
      </c>
      <c r="E423" s="423" t="s">
        <v>1474</v>
      </c>
    </row>
    <row r="424" spans="1:5" s="2" customFormat="1" ht="180" customHeight="1" outlineLevel="1">
      <c r="A424" s="309" t="s">
        <v>462</v>
      </c>
      <c r="B424" s="133" t="s">
        <v>1195</v>
      </c>
      <c r="C424" s="133" t="s">
        <v>678</v>
      </c>
      <c r="D424" s="94" t="s">
        <v>1</v>
      </c>
      <c r="E424" s="423"/>
    </row>
    <row r="425" spans="1:5" s="2" customFormat="1" ht="60" customHeight="1" outlineLevel="1">
      <c r="A425" s="408" t="s">
        <v>690</v>
      </c>
      <c r="B425" s="133" t="s">
        <v>176</v>
      </c>
      <c r="C425" s="133" t="s">
        <v>177</v>
      </c>
      <c r="D425" s="135" t="s">
        <v>1</v>
      </c>
      <c r="E425" s="423" t="s">
        <v>1475</v>
      </c>
    </row>
    <row r="426" spans="1:5" s="2" customFormat="1" ht="56.45" customHeight="1" outlineLevel="1">
      <c r="A426" s="408"/>
      <c r="B426" s="133" t="s">
        <v>1189</v>
      </c>
      <c r="C426" s="133" t="s">
        <v>621</v>
      </c>
      <c r="D426" s="135" t="s">
        <v>1</v>
      </c>
      <c r="E426" s="423"/>
    </row>
    <row r="427" spans="1:5" s="2" customFormat="1" ht="43.15" customHeight="1" outlineLevel="1">
      <c r="A427" s="408"/>
      <c r="B427" s="133" t="s">
        <v>178</v>
      </c>
      <c r="C427" s="133" t="s">
        <v>179</v>
      </c>
      <c r="D427" s="135" t="s">
        <v>1</v>
      </c>
      <c r="E427" s="423"/>
    </row>
    <row r="428" spans="1:5" s="2" customFormat="1" ht="99.6" customHeight="1" outlineLevel="1">
      <c r="A428" s="309" t="s">
        <v>691</v>
      </c>
      <c r="B428" s="133" t="s">
        <v>180</v>
      </c>
      <c r="C428" s="133" t="s">
        <v>181</v>
      </c>
      <c r="D428" s="135" t="s">
        <v>1</v>
      </c>
      <c r="E428" s="332" t="s">
        <v>1476</v>
      </c>
    </row>
    <row r="429" spans="1:5" s="2" customFormat="1" ht="135" customHeight="1" outlineLevel="1">
      <c r="A429" s="309" t="s">
        <v>692</v>
      </c>
      <c r="B429" s="133" t="s">
        <v>182</v>
      </c>
      <c r="C429" s="133" t="s">
        <v>183</v>
      </c>
      <c r="D429" s="184" t="s">
        <v>1</v>
      </c>
      <c r="E429" s="339" t="s">
        <v>1477</v>
      </c>
    </row>
    <row r="430" spans="1:5" s="2" customFormat="1" ht="63.75" outlineLevel="1">
      <c r="A430" s="309" t="s">
        <v>693</v>
      </c>
      <c r="B430" s="133" t="s">
        <v>184</v>
      </c>
      <c r="C430" s="133" t="s">
        <v>185</v>
      </c>
      <c r="D430" s="184" t="s">
        <v>1</v>
      </c>
      <c r="E430" s="339" t="s">
        <v>1478</v>
      </c>
    </row>
    <row r="431" spans="1:5" s="2" customFormat="1" ht="61.15" customHeight="1" outlineLevel="1">
      <c r="A431" s="309" t="s">
        <v>694</v>
      </c>
      <c r="B431" s="133" t="s">
        <v>186</v>
      </c>
      <c r="C431" s="133" t="s">
        <v>187</v>
      </c>
      <c r="D431" s="184" t="s">
        <v>1</v>
      </c>
      <c r="E431" s="339" t="s">
        <v>1480</v>
      </c>
    </row>
    <row r="432" spans="1:5" s="2" customFormat="1" ht="25.5" customHeight="1" outlineLevel="1">
      <c r="A432" s="403" t="s">
        <v>714</v>
      </c>
      <c r="B432" s="403"/>
      <c r="C432" s="403"/>
      <c r="D432" s="276"/>
      <c r="E432" s="275" t="s">
        <v>1481</v>
      </c>
    </row>
    <row r="433" spans="1:5" s="2" customFormat="1" ht="54" customHeight="1" outlineLevel="1">
      <c r="A433" s="309" t="s">
        <v>463</v>
      </c>
      <c r="B433" s="133" t="s">
        <v>1197</v>
      </c>
      <c r="C433" s="133" t="s">
        <v>1199</v>
      </c>
      <c r="D433" s="184" t="s">
        <v>1</v>
      </c>
      <c r="E433" s="423" t="s">
        <v>1482</v>
      </c>
    </row>
    <row r="434" spans="1:5" s="2" customFormat="1" ht="39.6" customHeight="1" outlineLevel="1">
      <c r="A434" s="309" t="s">
        <v>464</v>
      </c>
      <c r="B434" s="133" t="s">
        <v>1196</v>
      </c>
      <c r="C434" s="133" t="s">
        <v>1198</v>
      </c>
      <c r="D434" s="184" t="s">
        <v>1</v>
      </c>
      <c r="E434" s="423"/>
    </row>
    <row r="435" spans="1:5" s="2" customFormat="1" ht="99" customHeight="1" outlineLevel="1">
      <c r="A435" s="309" t="s">
        <v>458</v>
      </c>
      <c r="B435" s="133" t="s">
        <v>188</v>
      </c>
      <c r="C435" s="133" t="s">
        <v>1201</v>
      </c>
      <c r="D435" s="184" t="s">
        <v>1479</v>
      </c>
      <c r="E435" s="329" t="s">
        <v>1483</v>
      </c>
    </row>
    <row r="436" spans="1:5" s="2" customFormat="1" ht="94.15" customHeight="1" outlineLevel="1">
      <c r="A436" s="309" t="s">
        <v>465</v>
      </c>
      <c r="B436" s="133" t="s">
        <v>696</v>
      </c>
      <c r="C436" s="133" t="s">
        <v>695</v>
      </c>
      <c r="D436" s="184" t="s">
        <v>190</v>
      </c>
      <c r="E436" s="329" t="s">
        <v>1484</v>
      </c>
    </row>
    <row r="437" spans="1:5" s="2" customFormat="1" ht="81.599999999999994" customHeight="1" outlineLevel="1">
      <c r="A437" s="309" t="s">
        <v>466</v>
      </c>
      <c r="B437" s="133" t="s">
        <v>191</v>
      </c>
      <c r="C437" s="133" t="s">
        <v>1200</v>
      </c>
      <c r="D437" s="184" t="s">
        <v>1</v>
      </c>
      <c r="E437" s="332" t="s">
        <v>1485</v>
      </c>
    </row>
    <row r="438" spans="1:5" s="2" customFormat="1" ht="150" customHeight="1" outlineLevel="1">
      <c r="A438" s="309" t="s">
        <v>467</v>
      </c>
      <c r="B438" s="133" t="s">
        <v>192</v>
      </c>
      <c r="C438" s="133" t="s">
        <v>717</v>
      </c>
      <c r="D438" s="368" t="s">
        <v>1</v>
      </c>
      <c r="E438" s="329" t="s">
        <v>1486</v>
      </c>
    </row>
    <row r="439" spans="1:5" s="2" customFormat="1" ht="160.15" customHeight="1" outlineLevel="1">
      <c r="A439" s="309" t="s">
        <v>468</v>
      </c>
      <c r="B439" s="133" t="s">
        <v>713</v>
      </c>
      <c r="C439" s="133"/>
      <c r="D439" s="368" t="s">
        <v>1</v>
      </c>
      <c r="E439" s="329" t="s">
        <v>1487</v>
      </c>
    </row>
    <row r="440" spans="1:5" s="2" customFormat="1" ht="25.5" customHeight="1" outlineLevel="1">
      <c r="A440" s="403" t="s">
        <v>193</v>
      </c>
      <c r="B440" s="403"/>
      <c r="C440" s="403"/>
      <c r="D440" s="276"/>
      <c r="E440" s="275" t="s">
        <v>1488</v>
      </c>
    </row>
    <row r="441" spans="1:5" s="2" customFormat="1" ht="98.45" customHeight="1" outlineLevel="1">
      <c r="A441" s="309" t="s">
        <v>469</v>
      </c>
      <c r="B441" s="133" t="s">
        <v>194</v>
      </c>
      <c r="C441" s="133" t="s">
        <v>195</v>
      </c>
      <c r="D441" s="184" t="s">
        <v>196</v>
      </c>
      <c r="E441" s="329" t="s">
        <v>1489</v>
      </c>
    </row>
    <row r="442" spans="1:5" s="2" customFormat="1" ht="68.45" customHeight="1" outlineLevel="1">
      <c r="A442" s="309" t="s">
        <v>470</v>
      </c>
      <c r="B442" s="133" t="s">
        <v>197</v>
      </c>
      <c r="C442" s="133" t="s">
        <v>584</v>
      </c>
      <c r="D442" s="184" t="s">
        <v>482</v>
      </c>
      <c r="E442" s="329" t="s">
        <v>1490</v>
      </c>
    </row>
    <row r="443" spans="1:5" s="2" customFormat="1" ht="25.5" customHeight="1" outlineLevel="1">
      <c r="A443" s="403" t="s">
        <v>131</v>
      </c>
      <c r="B443" s="403"/>
      <c r="C443" s="403"/>
      <c r="D443" s="276"/>
      <c r="E443" s="275" t="s">
        <v>1491</v>
      </c>
    </row>
    <row r="444" spans="1:5" s="2" customFormat="1" ht="38.25" outlineLevel="1">
      <c r="A444" s="309" t="s">
        <v>471</v>
      </c>
      <c r="B444" s="133" t="s">
        <v>1202</v>
      </c>
      <c r="C444" s="133" t="s">
        <v>1207</v>
      </c>
      <c r="D444" s="135" t="s">
        <v>1</v>
      </c>
      <c r="E444" s="423" t="s">
        <v>1492</v>
      </c>
    </row>
    <row r="445" spans="1:5" s="2" customFormat="1" ht="38.25" outlineLevel="1">
      <c r="A445" s="309" t="s">
        <v>472</v>
      </c>
      <c r="B445" s="133" t="s">
        <v>1203</v>
      </c>
      <c r="C445" s="133" t="s">
        <v>1208</v>
      </c>
      <c r="D445" s="135" t="s">
        <v>1</v>
      </c>
      <c r="E445" s="423"/>
    </row>
    <row r="446" spans="1:5" s="2" customFormat="1" ht="38.25" outlineLevel="1">
      <c r="A446" s="309" t="s">
        <v>473</v>
      </c>
      <c r="B446" s="133" t="s">
        <v>1204</v>
      </c>
      <c r="C446" s="133" t="s">
        <v>1209</v>
      </c>
      <c r="D446" s="135" t="s">
        <v>1</v>
      </c>
      <c r="E446" s="423"/>
    </row>
    <row r="447" spans="1:5" s="2" customFormat="1" ht="86.45" customHeight="1" outlineLevel="1">
      <c r="A447" s="309" t="s">
        <v>474</v>
      </c>
      <c r="B447" s="133" t="s">
        <v>1205</v>
      </c>
      <c r="C447" s="133" t="s">
        <v>198</v>
      </c>
      <c r="D447" s="135" t="s">
        <v>88</v>
      </c>
      <c r="E447" s="329" t="s">
        <v>1493</v>
      </c>
    </row>
    <row r="448" spans="1:5" s="2" customFormat="1" ht="102.6" customHeight="1" outlineLevel="1">
      <c r="A448" s="309" t="s">
        <v>475</v>
      </c>
      <c r="B448" s="133" t="s">
        <v>199</v>
      </c>
      <c r="C448" s="133" t="s">
        <v>200</v>
      </c>
      <c r="D448" s="135" t="s">
        <v>88</v>
      </c>
      <c r="E448" s="329" t="s">
        <v>1494</v>
      </c>
    </row>
    <row r="449" spans="1:5" s="2" customFormat="1" ht="135.6" customHeight="1" outlineLevel="1">
      <c r="A449" s="309" t="s">
        <v>476</v>
      </c>
      <c r="B449" s="133" t="s">
        <v>201</v>
      </c>
      <c r="C449" s="133" t="s">
        <v>202</v>
      </c>
      <c r="D449" s="135" t="s">
        <v>88</v>
      </c>
      <c r="E449" s="329" t="s">
        <v>1495</v>
      </c>
    </row>
    <row r="450" spans="1:5" s="2" customFormat="1" ht="174" customHeight="1" outlineLevel="1">
      <c r="A450" s="309" t="s">
        <v>477</v>
      </c>
      <c r="B450" s="133" t="s">
        <v>1498</v>
      </c>
      <c r="C450" s="133" t="s">
        <v>204</v>
      </c>
      <c r="D450" s="135" t="s">
        <v>88</v>
      </c>
      <c r="E450" s="329" t="s">
        <v>1496</v>
      </c>
    </row>
    <row r="451" spans="1:5" s="2" customFormat="1" ht="148.15" customHeight="1" outlineLevel="1">
      <c r="A451" s="309" t="s">
        <v>478</v>
      </c>
      <c r="B451" s="133" t="s">
        <v>1498</v>
      </c>
      <c r="C451" s="133" t="s">
        <v>205</v>
      </c>
      <c r="D451" s="135" t="s">
        <v>1</v>
      </c>
      <c r="E451" s="329" t="s">
        <v>1497</v>
      </c>
    </row>
    <row r="452" spans="1:5" s="2" customFormat="1" ht="154.15" customHeight="1" outlineLevel="1">
      <c r="A452" s="309" t="s">
        <v>517</v>
      </c>
      <c r="B452" s="310" t="s">
        <v>487</v>
      </c>
      <c r="C452" s="310" t="s">
        <v>518</v>
      </c>
      <c r="D452" s="352" t="s">
        <v>88</v>
      </c>
      <c r="E452" s="329" t="s">
        <v>1499</v>
      </c>
    </row>
    <row r="453" spans="1:5" s="2" customFormat="1" ht="124.15" customHeight="1" outlineLevel="1">
      <c r="A453" s="309" t="s">
        <v>613</v>
      </c>
      <c r="B453" s="310" t="s">
        <v>1206</v>
      </c>
      <c r="C453" s="310" t="s">
        <v>626</v>
      </c>
      <c r="D453" s="352" t="s">
        <v>623</v>
      </c>
      <c r="E453" s="329" t="s">
        <v>1500</v>
      </c>
    </row>
    <row r="454" spans="1:5" s="2" customFormat="1" ht="25.5" customHeight="1" outlineLevel="1">
      <c r="A454" s="403" t="s">
        <v>207</v>
      </c>
      <c r="B454" s="403"/>
      <c r="C454" s="403"/>
      <c r="D454" s="276"/>
      <c r="E454" s="275" t="s">
        <v>1501</v>
      </c>
    </row>
    <row r="455" spans="1:5" s="2" customFormat="1" ht="126" customHeight="1" outlineLevel="1">
      <c r="A455" s="309" t="s">
        <v>794</v>
      </c>
      <c r="B455" s="133" t="s">
        <v>1502</v>
      </c>
      <c r="C455" s="133" t="s">
        <v>209</v>
      </c>
      <c r="D455" s="184" t="s">
        <v>210</v>
      </c>
      <c r="E455" s="329" t="s">
        <v>1503</v>
      </c>
    </row>
    <row r="456" spans="1:5" s="2" customFormat="1" ht="63.75" outlineLevel="1">
      <c r="A456" s="309" t="s">
        <v>795</v>
      </c>
      <c r="B456" s="133" t="s">
        <v>211</v>
      </c>
      <c r="C456" s="133" t="s">
        <v>212</v>
      </c>
      <c r="D456" s="184" t="s">
        <v>213</v>
      </c>
      <c r="E456" s="329" t="s">
        <v>1504</v>
      </c>
    </row>
    <row r="457" spans="1:5" s="2" customFormat="1" ht="76.5" outlineLevel="1">
      <c r="A457" s="309" t="s">
        <v>796</v>
      </c>
      <c r="B457" s="133" t="s">
        <v>214</v>
      </c>
      <c r="C457" s="133" t="s">
        <v>215</v>
      </c>
      <c r="D457" s="184" t="s">
        <v>213</v>
      </c>
      <c r="E457" s="329" t="s">
        <v>1505</v>
      </c>
    </row>
    <row r="458" spans="1:5" s="2" customFormat="1" ht="123.6" customHeight="1" outlineLevel="1">
      <c r="A458" s="309" t="s">
        <v>797</v>
      </c>
      <c r="B458" s="133" t="s">
        <v>216</v>
      </c>
      <c r="C458" s="133" t="s">
        <v>87</v>
      </c>
      <c r="D458" s="184" t="s">
        <v>213</v>
      </c>
      <c r="E458" s="329" t="s">
        <v>1506</v>
      </c>
    </row>
    <row r="459" spans="1:5" s="2" customFormat="1" ht="127.5" outlineLevel="1">
      <c r="A459" s="309" t="s">
        <v>798</v>
      </c>
      <c r="B459" s="133" t="s">
        <v>217</v>
      </c>
      <c r="C459" s="369" t="s">
        <v>221</v>
      </c>
      <c r="D459" s="184" t="s">
        <v>210</v>
      </c>
      <c r="E459" s="332" t="s">
        <v>1507</v>
      </c>
    </row>
    <row r="460" spans="1:5" s="2" customFormat="1" ht="60" customHeight="1" outlineLevel="1">
      <c r="A460" s="309" t="s">
        <v>799</v>
      </c>
      <c r="B460" s="133" t="s">
        <v>1211</v>
      </c>
      <c r="C460" s="133" t="s">
        <v>218</v>
      </c>
      <c r="D460" s="184" t="s">
        <v>213</v>
      </c>
      <c r="E460" s="423" t="s">
        <v>1508</v>
      </c>
    </row>
    <row r="461" spans="1:5" s="2" customFormat="1" ht="38.25" outlineLevel="1">
      <c r="A461" s="309" t="s">
        <v>800</v>
      </c>
      <c r="B461" s="133" t="s">
        <v>1210</v>
      </c>
      <c r="C461" s="133" t="s">
        <v>219</v>
      </c>
      <c r="D461" s="184" t="s">
        <v>213</v>
      </c>
      <c r="E461" s="423"/>
    </row>
    <row r="462" spans="1:5" s="2" customFormat="1" ht="93.6" customHeight="1" outlineLevel="1">
      <c r="A462" s="309" t="s">
        <v>801</v>
      </c>
      <c r="B462" s="133" t="s">
        <v>220</v>
      </c>
      <c r="C462" s="133" t="s">
        <v>802</v>
      </c>
      <c r="D462" s="184" t="s">
        <v>213</v>
      </c>
      <c r="E462" s="329" t="s">
        <v>1509</v>
      </c>
    </row>
    <row r="463" spans="1:5" s="2" customFormat="1">
      <c r="A463" s="309"/>
      <c r="B463" s="277"/>
      <c r="C463" s="277"/>
      <c r="D463" s="105"/>
      <c r="E463" s="361"/>
    </row>
    <row r="464" spans="1:5" s="2" customFormat="1">
      <c r="A464" s="309"/>
      <c r="B464" s="277"/>
      <c r="C464" s="277"/>
      <c r="D464" s="105"/>
      <c r="E464" s="361"/>
    </row>
    <row r="465" spans="1:10">
      <c r="A465" s="34"/>
      <c r="B465" s="35" t="s">
        <v>99</v>
      </c>
      <c r="C465" s="36"/>
      <c r="D465" s="37"/>
      <c r="E465" s="51"/>
    </row>
    <row r="466" spans="1:10">
      <c r="A466" s="42">
        <v>1</v>
      </c>
      <c r="B466" s="410" t="s">
        <v>742</v>
      </c>
      <c r="C466" s="410"/>
      <c r="D466" s="410"/>
      <c r="E466" s="410"/>
    </row>
    <row r="467" spans="1:10">
      <c r="A467" s="43">
        <v>2</v>
      </c>
      <c r="B467" s="411" t="s">
        <v>839</v>
      </c>
      <c r="C467" s="411"/>
      <c r="D467" s="411"/>
      <c r="E467" s="411"/>
    </row>
    <row r="468" spans="1:10" ht="15.6" customHeight="1">
      <c r="A468" s="42">
        <v>3</v>
      </c>
      <c r="B468" s="412" t="s">
        <v>1212</v>
      </c>
      <c r="C468" s="412"/>
      <c r="D468" s="412"/>
      <c r="E468" s="412"/>
    </row>
    <row r="469" spans="1:10" s="4" customFormat="1">
      <c r="A469" s="43">
        <v>4</v>
      </c>
      <c r="B469" s="411" t="s">
        <v>743</v>
      </c>
      <c r="C469" s="411"/>
      <c r="D469" s="411"/>
      <c r="E469" s="411"/>
      <c r="F469" s="1"/>
      <c r="G469" s="1"/>
      <c r="H469" s="1"/>
      <c r="I469" s="1"/>
      <c r="J469" s="1"/>
    </row>
    <row r="470" spans="1:10" s="4" customFormat="1">
      <c r="A470" s="42">
        <v>5</v>
      </c>
      <c r="B470" s="410" t="s">
        <v>744</v>
      </c>
      <c r="C470" s="410"/>
      <c r="D470" s="410"/>
      <c r="E470" s="410"/>
      <c r="F470" s="1"/>
      <c r="G470" s="1"/>
      <c r="H470" s="1"/>
      <c r="I470" s="1"/>
      <c r="J470" s="1"/>
    </row>
    <row r="471" spans="1:10" s="4" customFormat="1">
      <c r="A471" s="43">
        <v>6</v>
      </c>
      <c r="B471" s="411" t="s">
        <v>747</v>
      </c>
      <c r="C471" s="411"/>
      <c r="D471" s="411"/>
      <c r="E471" s="411"/>
      <c r="F471" s="1"/>
      <c r="G471" s="1"/>
      <c r="H471" s="1"/>
      <c r="I471" s="1"/>
      <c r="J471" s="1"/>
    </row>
    <row r="472" spans="1:10" s="4" customFormat="1">
      <c r="A472" s="42">
        <v>7</v>
      </c>
      <c r="B472" s="410" t="s">
        <v>1213</v>
      </c>
      <c r="C472" s="410"/>
      <c r="D472" s="410"/>
      <c r="E472" s="410"/>
      <c r="F472" s="1"/>
      <c r="G472" s="1"/>
      <c r="H472" s="1"/>
      <c r="I472" s="1"/>
      <c r="J472" s="1"/>
    </row>
    <row r="473" spans="1:10" s="4" customFormat="1" ht="43.15" customHeight="1">
      <c r="A473" s="43">
        <v>8</v>
      </c>
      <c r="B473" s="409" t="s">
        <v>1214</v>
      </c>
      <c r="C473" s="409"/>
      <c r="D473" s="409"/>
      <c r="E473" s="409"/>
      <c r="F473" s="1"/>
      <c r="G473" s="1"/>
      <c r="H473" s="1"/>
      <c r="I473" s="1"/>
      <c r="J473" s="1"/>
    </row>
    <row r="474" spans="1:10" s="4" customFormat="1" ht="15.6" customHeight="1">
      <c r="A474" s="42">
        <v>9</v>
      </c>
      <c r="B474" s="412" t="s">
        <v>1215</v>
      </c>
      <c r="C474" s="412"/>
      <c r="D474" s="412"/>
      <c r="E474" s="412"/>
      <c r="F474" s="1"/>
      <c r="G474" s="1"/>
      <c r="H474" s="1"/>
      <c r="I474" s="1"/>
      <c r="J474" s="1"/>
    </row>
    <row r="475" spans="1:10" s="4" customFormat="1" ht="40.9" customHeight="1">
      <c r="A475" s="43">
        <v>10</v>
      </c>
      <c r="B475" s="409" t="s">
        <v>1216</v>
      </c>
      <c r="C475" s="409"/>
      <c r="D475" s="409"/>
      <c r="E475" s="409"/>
      <c r="F475" s="1"/>
      <c r="G475" s="1"/>
      <c r="H475" s="1"/>
      <c r="I475" s="1"/>
      <c r="J475" s="1"/>
    </row>
    <row r="476" spans="1:10" s="4" customFormat="1" ht="82.9" customHeight="1">
      <c r="A476" s="44">
        <v>11</v>
      </c>
      <c r="B476" s="413" t="s">
        <v>1217</v>
      </c>
      <c r="C476" s="413"/>
      <c r="D476" s="413"/>
      <c r="E476" s="413"/>
      <c r="F476" s="1"/>
      <c r="G476" s="1"/>
      <c r="H476" s="1"/>
      <c r="I476" s="1"/>
      <c r="J476" s="1"/>
    </row>
    <row r="477" spans="1:10" s="4" customFormat="1" ht="36" customHeight="1">
      <c r="A477" s="43">
        <v>12</v>
      </c>
      <c r="B477" s="409" t="s">
        <v>1218</v>
      </c>
      <c r="C477" s="409"/>
      <c r="D477" s="409"/>
      <c r="E477" s="409"/>
      <c r="F477" s="1"/>
      <c r="G477" s="1"/>
      <c r="H477" s="1"/>
      <c r="I477" s="1"/>
      <c r="J477" s="1"/>
    </row>
    <row r="478" spans="1:10" s="4" customFormat="1" ht="67.150000000000006" customHeight="1">
      <c r="A478" s="44">
        <v>13</v>
      </c>
      <c r="B478" s="413" t="s">
        <v>1219</v>
      </c>
      <c r="C478" s="413"/>
      <c r="D478" s="413"/>
      <c r="E478" s="413"/>
      <c r="F478" s="1"/>
      <c r="G478" s="1"/>
      <c r="H478" s="1"/>
      <c r="I478" s="1"/>
      <c r="J478" s="1"/>
    </row>
    <row r="479" spans="1:10" s="4" customFormat="1">
      <c r="A479" s="28"/>
      <c r="B479" s="45"/>
      <c r="C479" s="46"/>
      <c r="D479" s="47"/>
      <c r="E479" s="52"/>
      <c r="F479" s="1"/>
      <c r="G479" s="1"/>
      <c r="H479" s="1"/>
      <c r="I479" s="1"/>
      <c r="J479" s="1"/>
    </row>
  </sheetData>
  <sheetProtection algorithmName="SHA-512" hashValue="FpNIB2FI338cHnI3IdAe5zDERXl681Za85lVqlrGpjxTEeith3ZHrcecvk7ClXRMh2KGyFVTCxrWYUg2sq/hQQ==" saltValue="1M8MdMpaA7IeSidMIHQ3GQ==" spinCount="100000" sheet="1" objects="1" scenarios="1"/>
  <mergeCells count="115">
    <mergeCell ref="E393:E394"/>
    <mergeCell ref="E398:E404"/>
    <mergeCell ref="E411:E413"/>
    <mergeCell ref="E419:E420"/>
    <mergeCell ref="E421:E422"/>
    <mergeCell ref="E423:E424"/>
    <mergeCell ref="E222:E226"/>
    <mergeCell ref="E233:E236"/>
    <mergeCell ref="E237:E238"/>
    <mergeCell ref="E239:E240"/>
    <mergeCell ref="E354:E357"/>
    <mergeCell ref="E363:E365"/>
    <mergeCell ref="E368:E372"/>
    <mergeCell ref="E376:E379"/>
    <mergeCell ref="E77:E81"/>
    <mergeCell ref="E83:E91"/>
    <mergeCell ref="E93:E101"/>
    <mergeCell ref="E444:E446"/>
    <mergeCell ref="B474:E474"/>
    <mergeCell ref="A382:C382"/>
    <mergeCell ref="A395:C395"/>
    <mergeCell ref="A410:C410"/>
    <mergeCell ref="E425:E427"/>
    <mergeCell ref="E433:E434"/>
    <mergeCell ref="E212:E214"/>
    <mergeCell ref="E251:E258"/>
    <mergeCell ref="E263:E264"/>
    <mergeCell ref="E276:E277"/>
    <mergeCell ref="E282:E283"/>
    <mergeCell ref="E286:E288"/>
    <mergeCell ref="E330:E336"/>
    <mergeCell ref="E337:E340"/>
    <mergeCell ref="A425:A427"/>
    <mergeCell ref="E217:E219"/>
    <mergeCell ref="E460:E461"/>
    <mergeCell ref="E192:E194"/>
    <mergeCell ref="E199:E204"/>
    <mergeCell ref="E386:E388"/>
    <mergeCell ref="B475:E475"/>
    <mergeCell ref="B476:E476"/>
    <mergeCell ref="B477:E477"/>
    <mergeCell ref="B478:E478"/>
    <mergeCell ref="E11:E14"/>
    <mergeCell ref="E15:E16"/>
    <mergeCell ref="E18:E20"/>
    <mergeCell ref="E23:E25"/>
    <mergeCell ref="E29:E32"/>
    <mergeCell ref="B468:E468"/>
    <mergeCell ref="B469:E469"/>
    <mergeCell ref="B470:E470"/>
    <mergeCell ref="B471:E471"/>
    <mergeCell ref="B472:E472"/>
    <mergeCell ref="B473:E473"/>
    <mergeCell ref="A443:C443"/>
    <mergeCell ref="A454:C454"/>
    <mergeCell ref="B466:E466"/>
    <mergeCell ref="B467:E467"/>
    <mergeCell ref="A411:A413"/>
    <mergeCell ref="A417:C417"/>
    <mergeCell ref="A432:C432"/>
    <mergeCell ref="A440:C440"/>
    <mergeCell ref="A381:C381"/>
    <mergeCell ref="F176:F178"/>
    <mergeCell ref="A189:E189"/>
    <mergeCell ref="A190:C190"/>
    <mergeCell ref="D190:E190"/>
    <mergeCell ref="E148:E150"/>
    <mergeCell ref="E151:E153"/>
    <mergeCell ref="A141:E141"/>
    <mergeCell ref="A142:C142"/>
    <mergeCell ref="D142:E142"/>
    <mergeCell ref="E154:E156"/>
    <mergeCell ref="E157:E162"/>
    <mergeCell ref="E169:E173"/>
    <mergeCell ref="E180:E182"/>
    <mergeCell ref="A2:E6"/>
    <mergeCell ref="A9:C9"/>
    <mergeCell ref="A10:C10"/>
    <mergeCell ref="C12:C14"/>
    <mergeCell ref="A17:C17"/>
    <mergeCell ref="A41:E41"/>
    <mergeCell ref="A42:C42"/>
    <mergeCell ref="D42:E42"/>
    <mergeCell ref="A28:E28"/>
    <mergeCell ref="E33:E36"/>
    <mergeCell ref="E37:E40"/>
    <mergeCell ref="C19:C20"/>
    <mergeCell ref="A21:C21"/>
    <mergeCell ref="A22:C22"/>
    <mergeCell ref="A26:E26"/>
    <mergeCell ref="A27:C27"/>
    <mergeCell ref="A43:C43"/>
    <mergeCell ref="D43:E43"/>
    <mergeCell ref="A143:C143"/>
    <mergeCell ref="D143:E143"/>
    <mergeCell ref="A341:E341"/>
    <mergeCell ref="A342:C342"/>
    <mergeCell ref="A343:C343"/>
    <mergeCell ref="A265:C265"/>
    <mergeCell ref="A324:C324"/>
    <mergeCell ref="A191:C191"/>
    <mergeCell ref="A221:C221"/>
    <mergeCell ref="D221:E221"/>
    <mergeCell ref="A242:C242"/>
    <mergeCell ref="E208:E209"/>
    <mergeCell ref="E210:E211"/>
    <mergeCell ref="E103:E111"/>
    <mergeCell ref="E113:E122"/>
    <mergeCell ref="E129:E132"/>
    <mergeCell ref="E133:E136"/>
    <mergeCell ref="E137:E140"/>
    <mergeCell ref="E46:E52"/>
    <mergeCell ref="E54:E60"/>
    <mergeCell ref="E62:E68"/>
    <mergeCell ref="E70:E75"/>
  </mergeCells>
  <printOptions horizontalCentered="1"/>
  <pageMargins left="0.23622047244094491" right="0.23622047244094491" top="0.74803149606299213" bottom="0.74803149606299213" header="0.31496062992125984" footer="0.31496062992125984"/>
  <pageSetup paperSize="9" scale="37" fitToHeight="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Перечень расценок</vt:lpstr>
      <vt:lpstr>Комментарии к Переченю расценок</vt:lpstr>
      <vt:lpstr>'Комментарии к Переченю расценок'!Область_печати</vt:lpstr>
      <vt:lpstr>'Перечень расценок'!Область_печати</vt:lpstr>
    </vt:vector>
  </TitlesOfParts>
  <Company>ПАО Ростелеком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Единые расценки на ПИР/СМР для В2В</dc:title>
  <dc:creator>ДРТУ КЦ</dc:creator>
  <cp:lastModifiedBy>Данилова Татьяна Владимировна</cp:lastModifiedBy>
  <cp:lastPrinted>2020-06-16T04:19:57Z</cp:lastPrinted>
  <dcterms:created xsi:type="dcterms:W3CDTF">2015-09-21T06:52:28Z</dcterms:created>
  <dcterms:modified xsi:type="dcterms:W3CDTF">2020-06-21T15:39:42Z</dcterms:modified>
</cp:coreProperties>
</file>